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hur\Document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9" i="1" l="1"/>
  <c r="J7" i="1"/>
  <c r="AM39" i="1"/>
  <c r="AM51" i="1"/>
  <c r="AM50" i="1"/>
  <c r="AM49" i="1"/>
  <c r="AM48" i="1"/>
  <c r="AM45" i="1"/>
  <c r="AM44" i="1"/>
  <c r="AM43" i="1"/>
  <c r="AM42" i="1"/>
  <c r="AM38" i="1"/>
  <c r="AM37" i="1"/>
  <c r="AM36" i="1"/>
  <c r="AM33" i="1"/>
  <c r="AM32" i="1"/>
  <c r="AM31" i="1"/>
  <c r="AM30" i="1"/>
  <c r="AM27" i="1"/>
  <c r="AM26" i="1"/>
  <c r="AM25" i="1"/>
  <c r="AM24" i="1"/>
  <c r="AM21" i="1"/>
  <c r="AM20" i="1"/>
  <c r="AM19" i="1"/>
  <c r="AM18" i="1"/>
  <c r="AM15" i="1"/>
  <c r="AM14" i="1"/>
  <c r="AM13" i="1"/>
  <c r="AM12" i="1"/>
  <c r="AH6" i="1" l="1"/>
  <c r="AI6" i="1"/>
  <c r="AJ6" i="1"/>
  <c r="AN6" i="1"/>
  <c r="AH7" i="1"/>
  <c r="AI7" i="1"/>
  <c r="AJ7" i="1"/>
  <c r="AN7" i="1"/>
  <c r="AH8" i="1"/>
  <c r="AI8" i="1"/>
  <c r="AJ8" i="1"/>
  <c r="AN8" i="1"/>
  <c r="AI9" i="1"/>
  <c r="AJ9" i="1"/>
  <c r="AN9" i="1"/>
  <c r="AH12" i="1"/>
  <c r="AI12" i="1"/>
  <c r="AJ12" i="1"/>
  <c r="AN12" i="1"/>
  <c r="AH13" i="1"/>
  <c r="AI13" i="1"/>
  <c r="AJ13" i="1"/>
  <c r="AN13" i="1"/>
  <c r="AH14" i="1"/>
  <c r="AI14" i="1"/>
  <c r="AJ14" i="1"/>
  <c r="AN14" i="1"/>
  <c r="AH15" i="1"/>
  <c r="AI15" i="1"/>
  <c r="AJ15" i="1"/>
  <c r="AN15" i="1"/>
  <c r="AH18" i="1"/>
  <c r="AI18" i="1"/>
  <c r="AJ18" i="1"/>
  <c r="AN18" i="1"/>
  <c r="AH19" i="1"/>
  <c r="AI19" i="1"/>
  <c r="AJ19" i="1"/>
  <c r="AN19" i="1"/>
  <c r="AH20" i="1"/>
  <c r="AI20" i="1"/>
  <c r="AJ20" i="1"/>
  <c r="AN20" i="1"/>
  <c r="AH21" i="1"/>
  <c r="AI21" i="1"/>
  <c r="AJ21" i="1"/>
  <c r="AN21" i="1"/>
  <c r="AH24" i="1"/>
  <c r="AI24" i="1"/>
  <c r="AJ24" i="1"/>
  <c r="AK24" i="1"/>
  <c r="AN24" i="1"/>
  <c r="AH25" i="1"/>
  <c r="AI25" i="1"/>
  <c r="AJ25" i="1"/>
  <c r="AK25" i="1" s="1"/>
  <c r="AN25" i="1"/>
  <c r="AH26" i="1"/>
  <c r="AI26" i="1"/>
  <c r="AJ26" i="1"/>
  <c r="AK26" i="1" s="1"/>
  <c r="AN26" i="1"/>
  <c r="AH27" i="1"/>
  <c r="AI27" i="1"/>
  <c r="AJ27" i="1"/>
  <c r="AN27" i="1"/>
  <c r="AH30" i="1"/>
  <c r="AI30" i="1"/>
  <c r="AJ30" i="1"/>
  <c r="AN30" i="1"/>
  <c r="AH31" i="1"/>
  <c r="AI31" i="1"/>
  <c r="AJ31" i="1"/>
  <c r="AN31" i="1"/>
  <c r="AH32" i="1"/>
  <c r="AI32" i="1"/>
  <c r="AJ32" i="1"/>
  <c r="AN32" i="1"/>
  <c r="AH33" i="1"/>
  <c r="AI33" i="1"/>
  <c r="AJ33" i="1"/>
  <c r="AN33" i="1"/>
  <c r="AH36" i="1"/>
  <c r="AI36" i="1"/>
  <c r="AJ36" i="1"/>
  <c r="AK36" i="1" s="1"/>
  <c r="AN36" i="1"/>
  <c r="AH37" i="1"/>
  <c r="AI37" i="1"/>
  <c r="AJ37" i="1"/>
  <c r="AN37" i="1"/>
  <c r="AH38" i="1"/>
  <c r="AI38" i="1"/>
  <c r="AJ38" i="1"/>
  <c r="AN38" i="1"/>
  <c r="AH39" i="1"/>
  <c r="AI39" i="1"/>
  <c r="AJ39" i="1"/>
  <c r="AN39" i="1"/>
  <c r="AH42" i="1"/>
  <c r="AI42" i="1"/>
  <c r="AJ42" i="1"/>
  <c r="AN42" i="1"/>
  <c r="AH43" i="1"/>
  <c r="AI43" i="1"/>
  <c r="AJ43" i="1"/>
  <c r="AN43" i="1"/>
  <c r="AH44" i="1"/>
  <c r="AI44" i="1"/>
  <c r="AJ44" i="1"/>
  <c r="AN44" i="1"/>
  <c r="AH45" i="1"/>
  <c r="AI45" i="1"/>
  <c r="AJ45" i="1"/>
  <c r="AN45" i="1"/>
  <c r="AH48" i="1"/>
  <c r="AI48" i="1"/>
  <c r="AJ48" i="1"/>
  <c r="AN48" i="1"/>
  <c r="AH49" i="1"/>
  <c r="AI49" i="1"/>
  <c r="AJ49" i="1"/>
  <c r="AN49" i="1"/>
  <c r="AH50" i="1"/>
  <c r="AI50" i="1"/>
  <c r="AJ50" i="1"/>
  <c r="AN50" i="1"/>
  <c r="AH51" i="1"/>
  <c r="AI51" i="1"/>
  <c r="AJ51" i="1"/>
  <c r="AN51" i="1"/>
  <c r="AK30" i="1" l="1"/>
  <c r="AK12" i="1"/>
  <c r="AK6" i="1"/>
  <c r="AK38" i="1"/>
  <c r="AK37" i="1"/>
  <c r="AK18" i="1"/>
  <c r="AK14" i="1"/>
  <c r="AK13" i="1"/>
  <c r="AK32" i="1"/>
  <c r="AK31" i="1"/>
  <c r="AK20" i="1"/>
  <c r="AK19" i="1"/>
  <c r="AK8" i="1"/>
  <c r="AK7" i="1"/>
  <c r="AK39" i="1"/>
  <c r="AK33" i="1"/>
  <c r="AK27" i="1"/>
  <c r="AK21" i="1"/>
  <c r="AK15" i="1"/>
  <c r="AK9" i="1"/>
  <c r="AK51" i="1"/>
  <c r="AK50" i="1"/>
  <c r="AK49" i="1"/>
  <c r="AK48" i="1"/>
  <c r="AK44" i="1"/>
  <c r="AK45" i="1"/>
  <c r="AK42" i="1"/>
  <c r="AK43" i="1"/>
  <c r="F17" i="1"/>
  <c r="G17" i="1"/>
  <c r="F18" i="1"/>
  <c r="F20" i="1"/>
  <c r="G20" i="1" s="1"/>
  <c r="G13" i="1" l="1"/>
  <c r="G14" i="1"/>
  <c r="G22" i="1"/>
  <c r="G23" i="1"/>
  <c r="G25" i="1"/>
  <c r="G26" i="1"/>
  <c r="G29" i="1"/>
  <c r="G31" i="1"/>
  <c r="G32" i="1"/>
  <c r="G35" i="1"/>
  <c r="G38" i="1"/>
  <c r="G40" i="1"/>
  <c r="G41" i="1"/>
  <c r="G46" i="1"/>
  <c r="G49" i="1"/>
  <c r="G50" i="1"/>
  <c r="G52" i="1"/>
  <c r="G7" i="1"/>
  <c r="G5" i="1"/>
  <c r="F29" i="1"/>
  <c r="C30" i="1"/>
  <c r="G30" i="1" s="1"/>
  <c r="F30" i="1"/>
  <c r="C31" i="1"/>
  <c r="F32" i="1"/>
  <c r="C33" i="1"/>
  <c r="G33" i="1" s="1"/>
  <c r="F33" i="1"/>
  <c r="F34" i="1"/>
  <c r="G34" i="1" s="1"/>
  <c r="F35" i="1"/>
  <c r="C36" i="1"/>
  <c r="G36" i="1" s="1"/>
  <c r="F36" i="1"/>
  <c r="C37" i="1"/>
  <c r="G37" i="1" s="1"/>
  <c r="F38" i="1"/>
  <c r="C39" i="1"/>
  <c r="F39" i="1"/>
  <c r="G39" i="1" s="1"/>
  <c r="F40" i="1"/>
  <c r="F41" i="1"/>
  <c r="C42" i="1"/>
  <c r="G42" i="1" s="1"/>
  <c r="F42" i="1"/>
  <c r="C43" i="1"/>
  <c r="G43" i="1" s="1"/>
  <c r="F44" i="1"/>
  <c r="G44" i="1" s="1"/>
  <c r="C45" i="1"/>
  <c r="F45" i="1"/>
  <c r="G45" i="1" s="1"/>
  <c r="F46" i="1"/>
  <c r="F47" i="1"/>
  <c r="G47" i="1" s="1"/>
  <c r="C48" i="1"/>
  <c r="G48" i="1" s="1"/>
  <c r="F48" i="1"/>
  <c r="C49" i="1"/>
  <c r="F50" i="1"/>
  <c r="C51" i="1"/>
  <c r="G51" i="1" s="1"/>
  <c r="F51" i="1"/>
  <c r="F52" i="1"/>
  <c r="C18" i="1"/>
  <c r="G18" i="1" s="1"/>
  <c r="C19" i="1"/>
  <c r="G19" i="1" s="1"/>
  <c r="C21" i="1"/>
  <c r="G21" i="1" s="1"/>
  <c r="F21" i="1"/>
  <c r="F22" i="1"/>
  <c r="F23" i="1"/>
  <c r="C24" i="1"/>
  <c r="F24" i="1"/>
  <c r="G24" i="1" s="1"/>
  <c r="C25" i="1"/>
  <c r="F26" i="1"/>
  <c r="C27" i="1"/>
  <c r="G27" i="1" s="1"/>
  <c r="F27" i="1"/>
  <c r="F28" i="1"/>
  <c r="G28" i="1" s="1"/>
  <c r="F11" i="1"/>
  <c r="G11" i="1" s="1"/>
  <c r="C12" i="1"/>
  <c r="F12" i="1"/>
  <c r="G12" i="1" s="1"/>
  <c r="C13" i="1"/>
  <c r="F14" i="1"/>
  <c r="C15" i="1"/>
  <c r="F15" i="1"/>
  <c r="G15" i="1" s="1"/>
  <c r="F16" i="1"/>
  <c r="G16" i="1" s="1"/>
  <c r="F10" i="1"/>
  <c r="G10" i="1" s="1"/>
  <c r="F9" i="1"/>
  <c r="G9" i="1" s="1"/>
  <c r="F8" i="1"/>
  <c r="G8" i="1" s="1"/>
  <c r="F6" i="1"/>
  <c r="F5" i="1"/>
  <c r="C9" i="1"/>
  <c r="C7" i="1"/>
  <c r="C6" i="1"/>
  <c r="G6" i="1" s="1"/>
  <c r="AL18" i="1" l="1"/>
  <c r="AL12" i="1"/>
  <c r="J13" i="1" s="1"/>
  <c r="P8" i="1" s="1"/>
  <c r="AL13" i="1"/>
  <c r="AL14" i="1"/>
  <c r="AL15" i="1"/>
  <c r="AL6" i="1"/>
  <c r="AM6" i="1" s="1"/>
  <c r="AL7" i="1"/>
  <c r="AM7" i="1" s="1"/>
  <c r="AL8" i="1"/>
  <c r="AM8" i="1" s="1"/>
  <c r="AL9" i="1"/>
  <c r="AM9" i="1" s="1"/>
  <c r="AL30" i="1"/>
  <c r="AL31" i="1"/>
  <c r="AL32" i="1"/>
  <c r="AL33" i="1"/>
  <c r="J32" i="1" s="1"/>
  <c r="AL21" i="1"/>
  <c r="AL19" i="1"/>
  <c r="AL36" i="1"/>
  <c r="AL37" i="1"/>
  <c r="AL38" i="1"/>
  <c r="AL39" i="1"/>
  <c r="AL24" i="1"/>
  <c r="AL25" i="1"/>
  <c r="AL26" i="1"/>
  <c r="AL27" i="1"/>
  <c r="AL20" i="1"/>
  <c r="J20" i="1" s="1"/>
  <c r="AL48" i="1"/>
  <c r="AL49" i="1"/>
  <c r="AL50" i="1"/>
  <c r="AL51" i="1"/>
  <c r="AL42" i="1"/>
  <c r="AL43" i="1"/>
  <c r="AL44" i="1"/>
  <c r="AL45" i="1"/>
  <c r="J26" i="1" l="1"/>
  <c r="J38" i="1"/>
  <c r="N38" i="1" s="1"/>
  <c r="J9" i="1"/>
  <c r="K9" i="1" s="1"/>
  <c r="J21" i="1"/>
  <c r="M21" i="1" s="1"/>
  <c r="J27" i="1"/>
  <c r="J39" i="1"/>
  <c r="K39" i="1" s="1"/>
  <c r="J33" i="1"/>
  <c r="K33" i="1" s="1"/>
  <c r="J6" i="1"/>
  <c r="P6" i="1" s="1"/>
  <c r="S9" i="1" s="1"/>
  <c r="V15" i="1" s="1"/>
  <c r="Y43" i="1" s="1"/>
  <c r="J15" i="1"/>
  <c r="N15" i="1" s="1"/>
  <c r="J24" i="1"/>
  <c r="P38" i="1" s="1"/>
  <c r="S35" i="1" s="1"/>
  <c r="J36" i="1"/>
  <c r="P44" i="1" s="1"/>
  <c r="S45" i="1" s="1"/>
  <c r="V41" i="1" s="1"/>
  <c r="Y29" i="1" s="1"/>
  <c r="J18" i="1"/>
  <c r="P12" i="1" s="1"/>
  <c r="S11" i="1" s="1"/>
  <c r="J30" i="1"/>
  <c r="P18" i="1" s="1"/>
  <c r="S21" i="1" s="1"/>
  <c r="P30" i="1"/>
  <c r="J12" i="1"/>
  <c r="P32" i="1" s="1"/>
  <c r="S33" i="1" s="1"/>
  <c r="V39" i="1" s="1"/>
  <c r="Y45" i="1" s="1"/>
  <c r="J8" i="1"/>
  <c r="N8" i="1" s="1"/>
  <c r="J14" i="1"/>
  <c r="L14" i="1" s="1"/>
  <c r="J37" i="1"/>
  <c r="P20" i="1" s="1"/>
  <c r="J31" i="1"/>
  <c r="P42" i="1" s="1"/>
  <c r="J25" i="1"/>
  <c r="P14" i="1" s="1"/>
  <c r="J19" i="1"/>
  <c r="P36" i="1" s="1"/>
  <c r="J51" i="1"/>
  <c r="N51" i="1" s="1"/>
  <c r="J50" i="1"/>
  <c r="K50" i="1" s="1"/>
  <c r="J49" i="1"/>
  <c r="P26" i="1" s="1"/>
  <c r="J48" i="1"/>
  <c r="P50" i="1" s="1"/>
  <c r="S47" i="1" s="1"/>
  <c r="J45" i="1"/>
  <c r="N45" i="1" s="1"/>
  <c r="J44" i="1"/>
  <c r="M44" i="1" s="1"/>
  <c r="J42" i="1"/>
  <c r="P24" i="1" s="1"/>
  <c r="S23" i="1" s="1"/>
  <c r="V17" i="1" s="1"/>
  <c r="Y27" i="1" s="1"/>
  <c r="J43" i="1"/>
  <c r="P48" i="1" s="1"/>
  <c r="K7" i="1"/>
  <c r="K14" i="1"/>
  <c r="M12" i="1"/>
  <c r="K36" i="1"/>
  <c r="M24" i="1"/>
  <c r="M19" i="1"/>
  <c r="K19" i="1"/>
  <c r="M15" i="1"/>
  <c r="K15" i="1"/>
  <c r="M13" i="1"/>
  <c r="K13" i="1"/>
  <c r="L13" i="1"/>
  <c r="N13" i="1"/>
  <c r="N33" i="1"/>
  <c r="M32" i="1"/>
  <c r="N32" i="1"/>
  <c r="L32" i="1"/>
  <c r="K32" i="1"/>
  <c r="N50" i="1"/>
  <c r="N27" i="1"/>
  <c r="K27" i="1"/>
  <c r="M27" i="1"/>
  <c r="L27" i="1"/>
  <c r="M26" i="1"/>
  <c r="N26" i="1"/>
  <c r="L26" i="1"/>
  <c r="K26" i="1"/>
  <c r="N20" i="1"/>
  <c r="M20" i="1"/>
  <c r="K20" i="1"/>
  <c r="L20" i="1"/>
  <c r="N39" i="1" l="1"/>
  <c r="L38" i="1"/>
  <c r="N37" i="1"/>
  <c r="M50" i="1"/>
  <c r="M33" i="1"/>
  <c r="N36" i="1"/>
  <c r="L15" i="1"/>
  <c r="L12" i="1"/>
  <c r="M14" i="1"/>
  <c r="L21" i="1"/>
  <c r="L9" i="1"/>
  <c r="N9" i="1"/>
  <c r="M9" i="1"/>
  <c r="L33" i="1"/>
  <c r="K30" i="1"/>
  <c r="L31" i="1"/>
  <c r="N30" i="1"/>
  <c r="K31" i="1"/>
  <c r="K8" i="1"/>
  <c r="L51" i="1"/>
  <c r="M38" i="1"/>
  <c r="N18" i="1"/>
  <c r="N25" i="1"/>
  <c r="K6" i="1"/>
  <c r="M8" i="1"/>
  <c r="N21" i="1"/>
  <c r="K38" i="1"/>
  <c r="M39" i="1"/>
  <c r="K18" i="1"/>
  <c r="L24" i="1"/>
  <c r="M25" i="1"/>
  <c r="M37" i="1"/>
  <c r="L6" i="1"/>
  <c r="L7" i="1"/>
  <c r="L8" i="1"/>
  <c r="K21" i="1"/>
  <c r="L39" i="1"/>
  <c r="L18" i="1"/>
  <c r="M18" i="1"/>
  <c r="K24" i="1"/>
  <c r="N24" i="1"/>
  <c r="L25" i="1"/>
  <c r="K25" i="1"/>
  <c r="L37" i="1"/>
  <c r="K37" i="1"/>
  <c r="M6" i="1"/>
  <c r="N6" i="1"/>
  <c r="N7" i="1"/>
  <c r="M7" i="1"/>
  <c r="L50" i="1"/>
  <c r="L19" i="1"/>
  <c r="N19" i="1"/>
  <c r="L48" i="1"/>
  <c r="L30" i="1"/>
  <c r="M30" i="1"/>
  <c r="M31" i="1"/>
  <c r="N31" i="1"/>
  <c r="L36" i="1"/>
  <c r="M36" i="1"/>
  <c r="K12" i="1"/>
  <c r="N12" i="1"/>
  <c r="N14" i="1"/>
  <c r="K49" i="1"/>
  <c r="K51" i="1"/>
  <c r="M49" i="1"/>
  <c r="M51" i="1"/>
  <c r="L49" i="1"/>
  <c r="N49" i="1"/>
  <c r="K48" i="1"/>
  <c r="M48" i="1"/>
  <c r="N48" i="1"/>
  <c r="L44" i="1"/>
  <c r="N42" i="1"/>
  <c r="L43" i="1"/>
  <c r="K44" i="1"/>
  <c r="M43" i="1"/>
  <c r="K45" i="1"/>
  <c r="M45" i="1"/>
  <c r="N44" i="1"/>
  <c r="K43" i="1"/>
  <c r="N43" i="1"/>
  <c r="L45" i="1"/>
  <c r="K42" i="1"/>
  <c r="L42" i="1"/>
  <c r="M42" i="1"/>
</calcChain>
</file>

<file path=xl/sharedStrings.xml><?xml version="1.0" encoding="utf-8"?>
<sst xmlns="http://schemas.openxmlformats.org/spreadsheetml/2006/main" count="162" uniqueCount="63">
  <si>
    <t>Coupe du monde 2014</t>
  </si>
  <si>
    <t>Groupes</t>
  </si>
  <si>
    <t>A</t>
  </si>
  <si>
    <t>Brésil</t>
  </si>
  <si>
    <t>Cameroun</t>
  </si>
  <si>
    <t>Croatie</t>
  </si>
  <si>
    <t>Mexique</t>
  </si>
  <si>
    <t>Matchs</t>
  </si>
  <si>
    <t>B</t>
  </si>
  <si>
    <t>C</t>
  </si>
  <si>
    <t>D</t>
  </si>
  <si>
    <t>E</t>
  </si>
  <si>
    <t>F</t>
  </si>
  <si>
    <t>G</t>
  </si>
  <si>
    <t>H</t>
  </si>
  <si>
    <t>Australie</t>
  </si>
  <si>
    <t>Chili</t>
  </si>
  <si>
    <t>Espagne</t>
  </si>
  <si>
    <t>Pays-Bas</t>
  </si>
  <si>
    <t>Colombie</t>
  </si>
  <si>
    <t>Côte d'ivoire</t>
  </si>
  <si>
    <t>Grèce</t>
  </si>
  <si>
    <t>Japon</t>
  </si>
  <si>
    <t>Angleterre</t>
  </si>
  <si>
    <t>Costa Rica</t>
  </si>
  <si>
    <t>Italie</t>
  </si>
  <si>
    <t>Équateur</t>
  </si>
  <si>
    <t>France</t>
  </si>
  <si>
    <t>Honduras</t>
  </si>
  <si>
    <t>Suisse</t>
  </si>
  <si>
    <t>Argentine</t>
  </si>
  <si>
    <t>Bosnie</t>
  </si>
  <si>
    <t>Iran</t>
  </si>
  <si>
    <t>Nigeria</t>
  </si>
  <si>
    <t>Allemagne</t>
  </si>
  <si>
    <t>Ghana</t>
  </si>
  <si>
    <t>Portugal</t>
  </si>
  <si>
    <t>États-Unis</t>
  </si>
  <si>
    <t>Algérie</t>
  </si>
  <si>
    <t>Belgique</t>
  </si>
  <si>
    <t>Corée</t>
  </si>
  <si>
    <t>Russie</t>
  </si>
  <si>
    <t>Vainqueur</t>
  </si>
  <si>
    <t>Points</t>
  </si>
  <si>
    <t>BP</t>
  </si>
  <si>
    <t>BC</t>
  </si>
  <si>
    <t>+/-</t>
  </si>
  <si>
    <t>Place</t>
  </si>
  <si>
    <t>Points en tout</t>
  </si>
  <si>
    <t>Pays</t>
  </si>
  <si>
    <t>Uruguay</t>
  </si>
  <si>
    <t>¼ de Finale</t>
  </si>
  <si>
    <r>
      <rPr>
        <sz val="11"/>
        <color theme="1"/>
        <rFont val="Calibri"/>
        <family val="2"/>
      </rPr>
      <t>½</t>
    </r>
    <r>
      <rPr>
        <sz val="11"/>
        <color theme="1"/>
        <rFont val="Calibri"/>
        <family val="2"/>
        <scheme val="minor"/>
      </rPr>
      <t xml:space="preserve"> Finale</t>
    </r>
  </si>
  <si>
    <t>⅛ de Finale</t>
  </si>
  <si>
    <t>Petite Finale</t>
  </si>
  <si>
    <t>Résultats des Poules</t>
  </si>
  <si>
    <t>1(3)</t>
  </si>
  <si>
    <t>1(2)</t>
  </si>
  <si>
    <t>1(5)</t>
  </si>
  <si>
    <t>0(4)</t>
  </si>
  <si>
    <t>0(3)</t>
  </si>
  <si>
    <t>0(2)</t>
  </si>
  <si>
    <t>Finales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</si>
</sst>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80FF80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rgb="FF8080FF"/>
        <bgColor indexed="64"/>
      </patternFill>
    </fill>
    <fill>
      <patternFill patternType="solid">
        <fgColor rgb="FFC040FF"/>
        <bgColor indexed="64"/>
      </patternFill>
    </fill>
    <fill>
      <patternFill patternType="solid">
        <fgColor rgb="FFFFC040"/>
        <bgColor indexed="64"/>
      </patternFill>
    </fill>
    <fill>
      <patternFill patternType="solid">
        <fgColor rgb="FFFFFF80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FF80FF"/>
        <bgColor indexed="64"/>
      </patternFill>
    </fill>
    <fill>
      <patternFill patternType="solid">
        <fgColor rgb="FF582900"/>
        <bgColor indexed="64"/>
      </patternFill>
    </fill>
    <fill>
      <patternFill patternType="solid">
        <fgColor rgb="FFDC66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7F00FF"/>
        <bgColor indexed="64"/>
      </patternFill>
    </fill>
    <fill>
      <patternFill patternType="solid">
        <fgColor theme="0" tint="-0.249977111117893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7">
    <xf numFmtId="0" fontId="0" fillId="0" borderId="0" xfId="0"/>
    <xf numFmtId="0" fontId="0" fillId="0" borderId="0" xfId="0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1" fillId="5" borderId="41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26" xfId="0" quotePrefix="1" applyFill="1" applyBorder="1" applyAlignment="1">
      <alignment horizontal="center" vertical="center"/>
    </xf>
    <xf numFmtId="0" fontId="0" fillId="7" borderId="29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30" xfId="0" applyFill="1" applyBorder="1" applyAlignment="1">
      <alignment horizontal="center" vertical="center"/>
    </xf>
    <xf numFmtId="0" fontId="0" fillId="7" borderId="28" xfId="0" quotePrefix="1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26" xfId="0" quotePrefix="1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27" xfId="0" quotePrefix="1" applyFill="1" applyBorder="1" applyAlignment="1">
      <alignment horizontal="center" vertical="center"/>
    </xf>
    <xf numFmtId="0" fontId="0" fillId="9" borderId="29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30" xfId="0" applyFill="1" applyBorder="1" applyAlignment="1">
      <alignment horizontal="center" vertical="center"/>
    </xf>
    <xf numFmtId="0" fontId="0" fillId="9" borderId="28" xfId="0" quotePrefix="1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9" borderId="26" xfId="0" quotePrefix="1" applyFill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0" fillId="9" borderId="27" xfId="0" quotePrefix="1" applyFill="1" applyBorder="1" applyAlignment="1">
      <alignment horizontal="center" vertical="center"/>
    </xf>
    <xf numFmtId="0" fontId="0" fillId="10" borderId="23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  <xf numFmtId="0" fontId="0" fillId="10" borderId="26" xfId="0" quotePrefix="1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0" borderId="27" xfId="0" quotePrefix="1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19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25" xfId="0" quotePrefix="1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32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31" xfId="0" quotePrefix="1" applyFill="1" applyBorder="1" applyAlignment="1">
      <alignment horizontal="center" vertical="center"/>
    </xf>
    <xf numFmtId="0" fontId="0" fillId="11" borderId="23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17" xfId="0" applyFill="1" applyBorder="1" applyAlignment="1">
      <alignment horizontal="center" vertical="center"/>
    </xf>
    <xf numFmtId="0" fontId="0" fillId="11" borderId="26" xfId="0" quotePrefix="1" applyFill="1" applyBorder="1" applyAlignment="1">
      <alignment horizontal="center" vertical="center"/>
    </xf>
    <xf numFmtId="0" fontId="0" fillId="11" borderId="29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30" xfId="0" applyFill="1" applyBorder="1" applyAlignment="1">
      <alignment horizontal="center" vertical="center"/>
    </xf>
    <xf numFmtId="0" fontId="0" fillId="11" borderId="28" xfId="0" quotePrefix="1" applyFill="1" applyBorder="1" applyAlignment="1">
      <alignment horizontal="center" vertical="center"/>
    </xf>
    <xf numFmtId="0" fontId="0" fillId="11" borderId="24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11" borderId="18" xfId="0" applyFill="1" applyBorder="1" applyAlignment="1">
      <alignment horizontal="center" vertical="center"/>
    </xf>
    <xf numFmtId="0" fontId="0" fillId="11" borderId="27" xfId="0" quotePrefix="1" applyFill="1" applyBorder="1" applyAlignment="1">
      <alignment horizontal="center" vertical="center"/>
    </xf>
    <xf numFmtId="0" fontId="0" fillId="12" borderId="29" xfId="0" applyFill="1" applyBorder="1" applyAlignment="1">
      <alignment horizontal="center" vertical="center"/>
    </xf>
    <xf numFmtId="0" fontId="0" fillId="12" borderId="7" xfId="0" applyFill="1" applyBorder="1" applyAlignment="1">
      <alignment horizontal="center" vertical="center"/>
    </xf>
    <xf numFmtId="0" fontId="0" fillId="12" borderId="30" xfId="0" applyFill="1" applyBorder="1" applyAlignment="1">
      <alignment horizontal="center" vertical="center"/>
    </xf>
    <xf numFmtId="0" fontId="0" fillId="12" borderId="28" xfId="0" quotePrefix="1" applyFill="1" applyBorder="1" applyAlignment="1">
      <alignment horizontal="center" vertical="center"/>
    </xf>
    <xf numFmtId="0" fontId="0" fillId="12" borderId="23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2" borderId="17" xfId="0" applyFill="1" applyBorder="1" applyAlignment="1">
      <alignment horizontal="center" vertical="center"/>
    </xf>
    <xf numFmtId="0" fontId="0" fillId="12" borderId="26" xfId="0" quotePrefix="1" applyFill="1" applyBorder="1" applyAlignment="1">
      <alignment horizontal="center" vertical="center"/>
    </xf>
    <xf numFmtId="0" fontId="0" fillId="12" borderId="24" xfId="0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12" borderId="18" xfId="0" applyFill="1" applyBorder="1" applyAlignment="1">
      <alignment horizontal="center" vertical="center"/>
    </xf>
    <xf numFmtId="0" fontId="0" fillId="12" borderId="27" xfId="0" quotePrefix="1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3" borderId="19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13" borderId="25" xfId="0" quotePrefix="1" applyFill="1" applyBorder="1" applyAlignment="1">
      <alignment horizontal="center" vertical="center"/>
    </xf>
    <xf numFmtId="0" fontId="0" fillId="13" borderId="23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3" borderId="17" xfId="0" applyFill="1" applyBorder="1" applyAlignment="1">
      <alignment horizontal="center" vertical="center"/>
    </xf>
    <xf numFmtId="0" fontId="0" fillId="13" borderId="26" xfId="0" quotePrefix="1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13" borderId="32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31" xfId="0" quotePrefix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6" xfId="0" quotePrefix="1" applyFill="1" applyBorder="1" applyAlignment="1">
      <alignment horizontal="center" vertical="center"/>
    </xf>
    <xf numFmtId="0" fontId="0" fillId="14" borderId="29" xfId="0" applyFill="1" applyBorder="1" applyAlignment="1">
      <alignment horizontal="center" vertical="center"/>
    </xf>
    <xf numFmtId="0" fontId="0" fillId="14" borderId="7" xfId="0" applyFill="1" applyBorder="1" applyAlignment="1">
      <alignment horizontal="center" vertical="center"/>
    </xf>
    <xf numFmtId="0" fontId="0" fillId="14" borderId="30" xfId="0" applyFill="1" applyBorder="1" applyAlignment="1">
      <alignment horizontal="center" vertical="center"/>
    </xf>
    <xf numFmtId="0" fontId="0" fillId="14" borderId="28" xfId="0" quotePrefix="1" applyFill="1" applyBorder="1" applyAlignment="1">
      <alignment horizontal="center" vertical="center"/>
    </xf>
    <xf numFmtId="0" fontId="0" fillId="14" borderId="23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4" borderId="17" xfId="0" applyFill="1" applyBorder="1" applyAlignment="1">
      <alignment horizontal="center" vertical="center"/>
    </xf>
    <xf numFmtId="0" fontId="0" fillId="14" borderId="26" xfId="0" quotePrefix="1" applyFill="1" applyBorder="1" applyAlignment="1">
      <alignment horizontal="center" vertical="center"/>
    </xf>
    <xf numFmtId="0" fontId="0" fillId="14" borderId="24" xfId="0" applyFill="1" applyBorder="1" applyAlignment="1">
      <alignment horizontal="center" vertical="center"/>
    </xf>
    <xf numFmtId="0" fontId="0" fillId="14" borderId="9" xfId="0" applyFill="1" applyBorder="1" applyAlignment="1">
      <alignment horizontal="center" vertical="center"/>
    </xf>
    <xf numFmtId="0" fontId="0" fillId="14" borderId="18" xfId="0" applyFill="1" applyBorder="1" applyAlignment="1">
      <alignment horizontal="center" vertical="center"/>
    </xf>
    <xf numFmtId="0" fontId="0" fillId="14" borderId="27" xfId="0" quotePrefix="1" applyFill="1" applyBorder="1" applyAlignment="1">
      <alignment horizontal="center" vertical="center"/>
    </xf>
    <xf numFmtId="0" fontId="0" fillId="12" borderId="10" xfId="0" applyFill="1" applyBorder="1" applyAlignment="1">
      <alignment horizontal="center" vertical="center"/>
    </xf>
    <xf numFmtId="0" fontId="0" fillId="13" borderId="9" xfId="0" applyFill="1" applyBorder="1" applyAlignment="1">
      <alignment horizontal="center" vertical="center"/>
    </xf>
    <xf numFmtId="0" fontId="0" fillId="13" borderId="27" xfId="0" quotePrefix="1" applyFill="1" applyBorder="1" applyAlignment="1">
      <alignment horizontal="center" vertical="center"/>
    </xf>
    <xf numFmtId="0" fontId="0" fillId="16" borderId="29" xfId="0" applyFill="1" applyBorder="1" applyAlignment="1">
      <alignment horizontal="center" vertical="center"/>
    </xf>
    <xf numFmtId="0" fontId="0" fillId="16" borderId="7" xfId="0" applyFill="1" applyBorder="1" applyAlignment="1">
      <alignment horizontal="center" vertical="center"/>
    </xf>
    <xf numFmtId="0" fontId="0" fillId="16" borderId="30" xfId="0" applyFill="1" applyBorder="1" applyAlignment="1">
      <alignment horizontal="center" vertical="center"/>
    </xf>
    <xf numFmtId="0" fontId="0" fillId="16" borderId="28" xfId="0" quotePrefix="1" applyFill="1" applyBorder="1" applyAlignment="1">
      <alignment horizontal="center" vertical="center"/>
    </xf>
    <xf numFmtId="0" fontId="0" fillId="16" borderId="23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6" borderId="17" xfId="0" applyFill="1" applyBorder="1" applyAlignment="1">
      <alignment horizontal="center" vertical="center"/>
    </xf>
    <xf numFmtId="0" fontId="0" fillId="16" borderId="26" xfId="0" quotePrefix="1" applyFill="1" applyBorder="1" applyAlignment="1">
      <alignment horizontal="center" vertical="center"/>
    </xf>
    <xf numFmtId="0" fontId="0" fillId="16" borderId="24" xfId="0" applyFill="1" applyBorder="1" applyAlignment="1">
      <alignment horizontal="center" vertical="center"/>
    </xf>
    <xf numFmtId="0" fontId="0" fillId="16" borderId="9" xfId="0" applyFill="1" applyBorder="1" applyAlignment="1">
      <alignment horizontal="center" vertical="center"/>
    </xf>
    <xf numFmtId="0" fontId="0" fillId="16" borderId="18" xfId="0" applyFill="1" applyBorder="1" applyAlignment="1">
      <alignment horizontal="center" vertical="center"/>
    </xf>
    <xf numFmtId="0" fontId="0" fillId="16" borderId="27" xfId="0" quotePrefix="1" applyFill="1" applyBorder="1" applyAlignment="1">
      <alignment horizontal="center" vertical="center"/>
    </xf>
    <xf numFmtId="0" fontId="0" fillId="14" borderId="34" xfId="0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12" borderId="26" xfId="0" applyFill="1" applyBorder="1" applyAlignment="1">
      <alignment horizontal="center" vertical="center"/>
    </xf>
    <xf numFmtId="0" fontId="0" fillId="12" borderId="34" xfId="0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16" borderId="34" xfId="0" applyFill="1" applyBorder="1" applyAlignment="1">
      <alignment horizontal="center" vertical="center"/>
    </xf>
    <xf numFmtId="0" fontId="0" fillId="16" borderId="8" xfId="0" applyFill="1" applyBorder="1" applyAlignment="1">
      <alignment horizontal="center" vertical="center"/>
    </xf>
    <xf numFmtId="0" fontId="0" fillId="15" borderId="26" xfId="0" quotePrefix="1" applyFill="1" applyBorder="1" applyAlignment="1">
      <alignment horizontal="center" vertical="center"/>
    </xf>
    <xf numFmtId="0" fontId="0" fillId="15" borderId="34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5" borderId="8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13" borderId="34" xfId="0" applyFill="1" applyBorder="1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11" borderId="34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4" borderId="26" xfId="0" quotePrefix="1" applyFill="1" applyBorder="1" applyAlignment="1">
      <alignment horizontal="center" vertical="center"/>
    </xf>
    <xf numFmtId="0" fontId="0" fillId="10" borderId="34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8" borderId="26" xfId="0" quotePrefix="1" applyFill="1" applyBorder="1" applyAlignment="1">
      <alignment horizontal="center" vertical="center"/>
    </xf>
    <xf numFmtId="0" fontId="0" fillId="8" borderId="34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9" borderId="34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6" borderId="34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7" borderId="34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16" borderId="35" xfId="0" applyFill="1" applyBorder="1" applyAlignment="1">
      <alignment horizontal="center" vertical="center"/>
    </xf>
    <xf numFmtId="0" fontId="0" fillId="16" borderId="9" xfId="0" quotePrefix="1" applyFill="1" applyBorder="1" applyAlignment="1">
      <alignment horizontal="center" vertical="center"/>
    </xf>
    <xf numFmtId="0" fontId="0" fillId="16" borderId="10" xfId="0" applyFill="1" applyBorder="1" applyAlignment="1">
      <alignment horizontal="center" vertical="center"/>
    </xf>
    <xf numFmtId="0" fontId="0" fillId="7" borderId="35" xfId="0" applyFill="1" applyBorder="1" applyAlignment="1">
      <alignment horizontal="center" vertical="center"/>
    </xf>
    <xf numFmtId="0" fontId="0" fillId="7" borderId="9" xfId="0" quotePrefix="1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9" borderId="35" xfId="0" applyFill="1" applyBorder="1" applyAlignment="1">
      <alignment horizontal="center" vertical="center"/>
    </xf>
    <xf numFmtId="0" fontId="0" fillId="9" borderId="9" xfId="0" quotePrefix="1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11" borderId="35" xfId="0" applyFill="1" applyBorder="1" applyAlignment="1">
      <alignment horizontal="center" vertical="center"/>
    </xf>
    <xf numFmtId="0" fontId="0" fillId="11" borderId="9" xfId="0" quotePrefix="1" applyFill="1" applyBorder="1" applyAlignment="1">
      <alignment horizontal="center" vertical="center"/>
    </xf>
    <xf numFmtId="0" fontId="0" fillId="11" borderId="10" xfId="0" applyFill="1" applyBorder="1" applyAlignment="1">
      <alignment horizontal="center" vertical="center"/>
    </xf>
    <xf numFmtId="0" fontId="0" fillId="10" borderId="35" xfId="0" applyFill="1" applyBorder="1" applyAlignment="1">
      <alignment horizontal="center" vertical="center"/>
    </xf>
    <xf numFmtId="0" fontId="0" fillId="10" borderId="9" xfId="0" quotePrefix="1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0" fillId="12" borderId="27" xfId="0" applyFill="1" applyBorder="1" applyAlignment="1">
      <alignment horizontal="center" vertical="center"/>
    </xf>
    <xf numFmtId="0" fontId="0" fillId="12" borderId="35" xfId="0" applyFill="1" applyBorder="1" applyAlignment="1">
      <alignment horizontal="center" vertical="center"/>
    </xf>
    <xf numFmtId="0" fontId="0" fillId="12" borderId="9" xfId="0" quotePrefix="1" applyFill="1" applyBorder="1" applyAlignment="1">
      <alignment horizontal="center" vertical="center"/>
    </xf>
    <xf numFmtId="0" fontId="0" fillId="13" borderId="35" xfId="0" applyFill="1" applyBorder="1" applyAlignment="1">
      <alignment horizontal="center" vertical="center"/>
    </xf>
    <xf numFmtId="0" fontId="0" fillId="13" borderId="9" xfId="0" quotePrefix="1" applyFill="1" applyBorder="1" applyAlignment="1">
      <alignment horizontal="center" vertical="center"/>
    </xf>
    <xf numFmtId="0" fontId="0" fillId="13" borderId="10" xfId="0" applyFill="1" applyBorder="1" applyAlignment="1">
      <alignment horizontal="center" vertical="center"/>
    </xf>
    <xf numFmtId="0" fontId="0" fillId="14" borderId="35" xfId="0" applyFill="1" applyBorder="1" applyAlignment="1">
      <alignment horizontal="center" vertical="center"/>
    </xf>
    <xf numFmtId="0" fontId="0" fillId="14" borderId="9" xfId="0" quotePrefix="1" applyFill="1" applyBorder="1" applyAlignment="1">
      <alignment horizontal="center" vertical="center"/>
    </xf>
    <xf numFmtId="0" fontId="0" fillId="14" borderId="10" xfId="0" applyFill="1" applyBorder="1" applyAlignment="1">
      <alignment horizontal="center" vertical="center"/>
    </xf>
    <xf numFmtId="0" fontId="0" fillId="6" borderId="25" xfId="0" quotePrefix="1" applyFill="1" applyBorder="1" applyAlignment="1">
      <alignment horizontal="center" vertical="center"/>
    </xf>
    <xf numFmtId="0" fontId="0" fillId="6" borderId="36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22" xfId="0" quotePrefix="1" applyFill="1" applyBorder="1" applyAlignment="1">
      <alignment horizontal="center" vertical="center"/>
    </xf>
    <xf numFmtId="0" fontId="0" fillId="8" borderId="25" xfId="0" quotePrefix="1" applyFill="1" applyBorder="1" applyAlignment="1">
      <alignment horizontal="center" vertical="center"/>
    </xf>
    <xf numFmtId="0" fontId="0" fillId="8" borderId="36" xfId="0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0" fillId="4" borderId="25" xfId="0" quotePrefix="1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2" borderId="25" xfId="0" quotePrefix="1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15" borderId="36" xfId="0" applyFill="1" applyBorder="1" applyAlignment="1">
      <alignment horizontal="center" vertical="center"/>
    </xf>
    <xf numFmtId="0" fontId="0" fillId="15" borderId="19" xfId="0" applyFill="1" applyBorder="1" applyAlignment="1">
      <alignment horizontal="center" vertical="center"/>
    </xf>
    <xf numFmtId="0" fontId="0" fillId="15" borderId="20" xfId="0" applyFill="1" applyBorder="1" applyAlignment="1">
      <alignment horizontal="center" vertical="center"/>
    </xf>
    <xf numFmtId="0" fontId="0" fillId="15" borderId="25" xfId="0" quotePrefix="1" applyFill="1" applyBorder="1" applyAlignment="1">
      <alignment horizontal="center" vertical="center"/>
    </xf>
    <xf numFmtId="0" fontId="0" fillId="5" borderId="33" xfId="0" applyFill="1" applyBorder="1" applyAlignment="1">
      <alignment vertical="center"/>
    </xf>
    <xf numFmtId="0" fontId="0" fillId="5" borderId="33" xfId="0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0" fillId="18" borderId="25" xfId="0" quotePrefix="1" applyFill="1" applyBorder="1" applyAlignment="1">
      <alignment horizontal="center" vertical="center"/>
    </xf>
    <xf numFmtId="0" fontId="0" fillId="18" borderId="36" xfId="0" applyFill="1" applyBorder="1" applyAlignment="1">
      <alignment horizontal="center" vertical="center"/>
    </xf>
    <xf numFmtId="0" fontId="0" fillId="18" borderId="19" xfId="0" applyFill="1" applyBorder="1" applyAlignment="1">
      <alignment horizontal="center" vertical="center"/>
    </xf>
    <xf numFmtId="0" fontId="0" fillId="18" borderId="20" xfId="0" applyFill="1" applyBorder="1" applyAlignment="1">
      <alignment horizontal="center" vertical="center"/>
    </xf>
    <xf numFmtId="0" fontId="0" fillId="18" borderId="26" xfId="0" quotePrefix="1" applyFill="1" applyBorder="1" applyAlignment="1">
      <alignment horizontal="center" vertical="center"/>
    </xf>
    <xf numFmtId="0" fontId="0" fillId="18" borderId="34" xfId="0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18" borderId="8" xfId="0" applyFill="1" applyBorder="1" applyAlignment="1">
      <alignment horizontal="center" vertical="center"/>
    </xf>
    <xf numFmtId="0" fontId="0" fillId="19" borderId="0" xfId="0" applyFill="1" applyBorder="1" applyAlignment="1">
      <alignment horizontal="center" vertical="center"/>
    </xf>
    <xf numFmtId="0" fontId="0" fillId="19" borderId="0" xfId="0" quotePrefix="1" applyFill="1" applyBorder="1" applyAlignment="1">
      <alignment horizontal="center" vertical="center"/>
    </xf>
    <xf numFmtId="0" fontId="0" fillId="19" borderId="15" xfId="0" applyFill="1" applyBorder="1" applyAlignment="1">
      <alignment horizontal="center" vertical="center"/>
    </xf>
    <xf numFmtId="0" fontId="0" fillId="19" borderId="15" xfId="0" quotePrefix="1" applyFill="1" applyBorder="1" applyAlignment="1">
      <alignment horizontal="center" vertical="center"/>
    </xf>
    <xf numFmtId="0" fontId="0" fillId="19" borderId="42" xfId="0" applyFill="1" applyBorder="1" applyAlignment="1">
      <alignment horizontal="center" vertical="center"/>
    </xf>
    <xf numFmtId="0" fontId="0" fillId="19" borderId="15" xfId="0" applyFill="1" applyBorder="1" applyAlignment="1">
      <alignment vertical="center"/>
    </xf>
    <xf numFmtId="0" fontId="0" fillId="19" borderId="16" xfId="0" applyFill="1" applyBorder="1" applyAlignment="1">
      <alignment horizontal="center" vertical="center"/>
    </xf>
    <xf numFmtId="0" fontId="0" fillId="19" borderId="0" xfId="0" applyFill="1" applyBorder="1" applyAlignment="1">
      <alignment vertical="center"/>
    </xf>
    <xf numFmtId="0" fontId="0" fillId="19" borderId="0" xfId="0" applyFill="1" applyAlignment="1">
      <alignment horizontal="center" vertical="center"/>
    </xf>
    <xf numFmtId="0" fontId="0" fillId="17" borderId="25" xfId="0" quotePrefix="1" applyFill="1" applyBorder="1" applyAlignment="1">
      <alignment horizontal="center" vertical="center"/>
    </xf>
    <xf numFmtId="0" fontId="0" fillId="17" borderId="36" xfId="0" applyFill="1" applyBorder="1" applyAlignment="1">
      <alignment horizontal="center" vertical="center"/>
    </xf>
    <xf numFmtId="0" fontId="0" fillId="17" borderId="19" xfId="0" applyFill="1" applyBorder="1" applyAlignment="1">
      <alignment horizontal="center" vertical="center"/>
    </xf>
    <xf numFmtId="0" fontId="0" fillId="17" borderId="20" xfId="0" applyFill="1" applyBorder="1" applyAlignment="1">
      <alignment horizontal="center" vertical="center"/>
    </xf>
    <xf numFmtId="0" fontId="0" fillId="17" borderId="26" xfId="0" quotePrefix="1" applyFill="1" applyBorder="1" applyAlignment="1">
      <alignment horizontal="center" vertical="center"/>
    </xf>
    <xf numFmtId="0" fontId="0" fillId="17" borderId="34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0" fillId="17" borderId="8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8" borderId="28" xfId="0" applyFill="1" applyBorder="1" applyAlignment="1">
      <alignment horizontal="center" vertical="center"/>
    </xf>
    <xf numFmtId="0" fontId="0" fillId="8" borderId="26" xfId="0" applyFill="1" applyBorder="1" applyAlignment="1">
      <alignment horizontal="center" vertical="center"/>
    </xf>
    <xf numFmtId="0" fontId="0" fillId="8" borderId="27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0" fillId="19" borderId="8" xfId="0" applyFill="1" applyBorder="1" applyAlignment="1">
      <alignment horizontal="center" vertical="center"/>
    </xf>
    <xf numFmtId="0" fontId="0" fillId="19" borderId="10" xfId="0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0" fillId="6" borderId="34" xfId="0" applyFill="1" applyBorder="1" applyAlignment="1">
      <alignment horizontal="center" vertical="center"/>
    </xf>
    <xf numFmtId="0" fontId="0" fillId="19" borderId="38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17" borderId="28" xfId="0" applyFill="1" applyBorder="1" applyAlignment="1">
      <alignment horizontal="center" vertical="center"/>
    </xf>
    <xf numFmtId="0" fontId="0" fillId="17" borderId="26" xfId="0" applyFill="1" applyBorder="1" applyAlignment="1">
      <alignment horizontal="center" vertical="center"/>
    </xf>
    <xf numFmtId="0" fontId="0" fillId="17" borderId="27" xfId="0" applyFill="1" applyBorder="1" applyAlignment="1">
      <alignment horizontal="center" vertical="center"/>
    </xf>
    <xf numFmtId="0" fontId="0" fillId="15" borderId="28" xfId="0" applyFill="1" applyBorder="1" applyAlignment="1">
      <alignment horizontal="center" vertical="center"/>
    </xf>
    <xf numFmtId="0" fontId="0" fillId="15" borderId="26" xfId="0" applyFill="1" applyBorder="1" applyAlignment="1">
      <alignment horizontal="center" vertical="center"/>
    </xf>
    <xf numFmtId="0" fontId="0" fillId="15" borderId="27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0" fillId="18" borderId="25" xfId="0" applyFill="1" applyBorder="1" applyAlignment="1">
      <alignment horizontal="center" vertical="center"/>
    </xf>
    <xf numFmtId="0" fontId="0" fillId="18" borderId="26" xfId="0" applyFill="1" applyBorder="1" applyAlignment="1">
      <alignment horizontal="center" vertical="center"/>
    </xf>
    <xf numFmtId="0" fontId="0" fillId="18" borderId="31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18" borderId="34" xfId="0" applyFill="1" applyBorder="1" applyAlignment="1">
      <alignment horizontal="center" vertical="center"/>
    </xf>
    <xf numFmtId="0" fontId="0" fillId="18" borderId="35" xfId="0" applyFill="1" applyBorder="1" applyAlignment="1">
      <alignment horizontal="center" vertical="center"/>
    </xf>
    <xf numFmtId="0" fontId="0" fillId="4" borderId="37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8" borderId="34" xfId="0" applyFill="1" applyBorder="1" applyAlignment="1">
      <alignment horizontal="center" vertical="center"/>
    </xf>
    <xf numFmtId="0" fontId="0" fillId="8" borderId="35" xfId="0" applyFill="1" applyBorder="1" applyAlignment="1">
      <alignment horizontal="center" vertical="center"/>
    </xf>
    <xf numFmtId="0" fontId="0" fillId="17" borderId="37" xfId="0" applyFill="1" applyBorder="1" applyAlignment="1">
      <alignment horizontal="center" vertical="center"/>
    </xf>
    <xf numFmtId="0" fontId="0" fillId="17" borderId="34" xfId="0" applyFill="1" applyBorder="1" applyAlignment="1">
      <alignment horizontal="center" vertical="center"/>
    </xf>
    <xf numFmtId="0" fontId="0" fillId="15" borderId="34" xfId="0" applyFill="1" applyBorder="1" applyAlignment="1">
      <alignment horizontal="center" vertical="center"/>
    </xf>
    <xf numFmtId="0" fontId="0" fillId="15" borderId="35" xfId="0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19" borderId="40" xfId="0" applyFill="1" applyBorder="1" applyAlignment="1">
      <alignment horizontal="center" vertical="center"/>
    </xf>
    <xf numFmtId="0" fontId="0" fillId="19" borderId="20" xfId="0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19" borderId="44" xfId="0" applyFill="1" applyBorder="1" applyAlignment="1">
      <alignment horizontal="center" vertical="center"/>
    </xf>
    <xf numFmtId="0" fontId="0" fillId="19" borderId="46" xfId="0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19" borderId="33" xfId="0" applyFill="1" applyBorder="1" applyAlignment="1">
      <alignment horizontal="center" vertical="center"/>
    </xf>
    <xf numFmtId="0" fontId="0" fillId="19" borderId="4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</cellXfs>
  <cellStyles count="1">
    <cellStyle name="Normal" xfId="0" builtinId="0"/>
  </cellStyles>
  <dxfs count="64">
    <dxf>
      <fill>
        <patternFill>
          <bgColor rgb="FF007F00"/>
        </patternFill>
      </fill>
    </dxf>
    <dxf>
      <fill>
        <patternFill>
          <bgColor rgb="FF00007F"/>
        </patternFill>
      </fill>
    </dxf>
    <dxf>
      <fill>
        <patternFill>
          <bgColor rgb="FFFF7F00"/>
        </patternFill>
      </fill>
    </dxf>
    <dxf>
      <fill>
        <patternFill>
          <bgColor rgb="FF7F00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FF"/>
        </patternFill>
      </fill>
    </dxf>
    <dxf>
      <fill>
        <patternFill>
          <bgColor rgb="FF582900"/>
        </patternFill>
      </fill>
    </dxf>
    <dxf>
      <fill>
        <patternFill>
          <bgColor rgb="FF007F00"/>
        </patternFill>
      </fill>
    </dxf>
    <dxf>
      <fill>
        <patternFill>
          <bgColor rgb="FF00007F"/>
        </patternFill>
      </fill>
    </dxf>
    <dxf>
      <fill>
        <patternFill>
          <bgColor rgb="FFFF7F00"/>
        </patternFill>
      </fill>
    </dxf>
    <dxf>
      <fill>
        <patternFill>
          <bgColor rgb="FF7F00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FF"/>
        </patternFill>
      </fill>
    </dxf>
    <dxf>
      <fill>
        <patternFill>
          <bgColor rgb="FF582900"/>
        </patternFill>
      </fill>
    </dxf>
    <dxf>
      <fill>
        <patternFill>
          <bgColor rgb="FF007F00"/>
        </patternFill>
      </fill>
    </dxf>
    <dxf>
      <fill>
        <patternFill>
          <bgColor rgb="FF00007F"/>
        </patternFill>
      </fill>
    </dxf>
    <dxf>
      <fill>
        <patternFill>
          <bgColor rgb="FFFF7F00"/>
        </patternFill>
      </fill>
    </dxf>
    <dxf>
      <fill>
        <patternFill>
          <bgColor rgb="FF7F00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FF"/>
        </patternFill>
      </fill>
    </dxf>
    <dxf>
      <fill>
        <patternFill>
          <bgColor rgb="FF582900"/>
        </patternFill>
      </fill>
    </dxf>
    <dxf>
      <fill>
        <patternFill>
          <bgColor rgb="FF007F00"/>
        </patternFill>
      </fill>
    </dxf>
    <dxf>
      <fill>
        <patternFill>
          <bgColor rgb="FF00007F"/>
        </patternFill>
      </fill>
    </dxf>
    <dxf>
      <fill>
        <patternFill>
          <bgColor rgb="FFFF7F00"/>
        </patternFill>
      </fill>
    </dxf>
    <dxf>
      <fill>
        <patternFill>
          <bgColor rgb="FF7F00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FF"/>
        </patternFill>
      </fill>
    </dxf>
    <dxf>
      <fill>
        <patternFill>
          <bgColor rgb="FF5829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FF"/>
        </patternFill>
      </fill>
    </dxf>
    <dxf>
      <fill>
        <patternFill>
          <bgColor rgb="FF582900"/>
        </patternFill>
      </fill>
    </dxf>
    <dxf>
      <fill>
        <patternFill>
          <bgColor rgb="FF007F00"/>
        </patternFill>
      </fill>
    </dxf>
    <dxf>
      <fill>
        <patternFill>
          <bgColor rgb="FF00007F"/>
        </patternFill>
      </fill>
    </dxf>
    <dxf>
      <fill>
        <patternFill>
          <bgColor rgb="FFFF7F00"/>
        </patternFill>
      </fill>
    </dxf>
    <dxf>
      <fill>
        <patternFill>
          <bgColor rgb="FF7F00FF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FF"/>
        </patternFill>
      </fill>
    </dxf>
    <dxf>
      <fill>
        <patternFill>
          <bgColor rgb="FF582900"/>
        </patternFill>
      </fill>
    </dxf>
    <dxf>
      <fill>
        <patternFill>
          <bgColor rgb="FF007E00"/>
        </patternFill>
      </fill>
    </dxf>
    <dxf>
      <fill>
        <patternFill>
          <bgColor rgb="FF00007F"/>
        </patternFill>
      </fill>
    </dxf>
    <dxf>
      <fill>
        <patternFill>
          <bgColor rgb="FFFF7F00"/>
        </patternFill>
      </fill>
    </dxf>
    <dxf>
      <fill>
        <patternFill>
          <bgColor rgb="FF8000FF"/>
        </patternFill>
      </fill>
    </dxf>
    <dxf>
      <font>
        <u val="none"/>
        <color auto="1"/>
      </font>
      <fill>
        <patternFill patternType="solid">
          <fgColor rgb="FF008000"/>
          <bgColor rgb="FF7F00FF"/>
        </patternFill>
      </fill>
    </dxf>
    <dxf>
      <fill>
        <patternFill>
          <bgColor rgb="FFFF6600"/>
        </patternFill>
      </fill>
    </dxf>
    <dxf>
      <font>
        <u val="none"/>
        <color auto="1"/>
      </font>
      <fill>
        <patternFill patternType="solid">
          <fgColor rgb="FF008000"/>
          <bgColor rgb="FF007F00"/>
        </patternFill>
      </fill>
    </dxf>
    <dxf>
      <fill>
        <patternFill>
          <bgColor rgb="FF00007F"/>
        </patternFill>
      </fill>
    </dxf>
    <dxf>
      <font>
        <u val="none"/>
        <color auto="1"/>
      </font>
      <fill>
        <patternFill patternType="solid">
          <fgColor rgb="FF008000"/>
          <bgColor rgb="FF582900"/>
        </patternFill>
      </fill>
    </dxf>
    <dxf>
      <fill>
        <patternFill>
          <bgColor rgb="FFFF00FF"/>
        </patternFill>
      </fill>
    </dxf>
    <dxf>
      <font>
        <u val="none"/>
        <color auto="1"/>
      </font>
      <fill>
        <patternFill patternType="solid">
          <fgColor rgb="FF008000"/>
          <bgColor rgb="FFFFFF00"/>
        </patternFill>
      </fill>
    </dxf>
    <dxf>
      <fill>
        <patternFill>
          <bgColor rgb="FFFF0000"/>
        </patternFill>
      </fill>
    </dxf>
    <dxf>
      <font>
        <u val="none"/>
        <color auto="1"/>
      </font>
      <fill>
        <patternFill patternType="solid">
          <fgColor rgb="FF008000"/>
          <bgColor rgb="FF582900"/>
        </patternFill>
      </fill>
    </dxf>
    <dxf>
      <fill>
        <patternFill>
          <bgColor rgb="FFFF00FF"/>
        </patternFill>
      </fill>
    </dxf>
    <dxf>
      <font>
        <u val="none"/>
        <color auto="1"/>
      </font>
      <fill>
        <patternFill patternType="solid">
          <fgColor rgb="FF008000"/>
          <bgColor rgb="FFFFFF00"/>
        </patternFill>
      </fill>
    </dxf>
    <dxf>
      <fill>
        <patternFill>
          <bgColor rgb="FFFF0000"/>
        </patternFill>
      </fill>
    </dxf>
    <dxf>
      <font>
        <u val="none"/>
        <color auto="1"/>
      </font>
      <fill>
        <patternFill patternType="solid">
          <fgColor rgb="FF008000"/>
          <bgColor rgb="FF7F00FF"/>
        </patternFill>
      </fill>
    </dxf>
    <dxf>
      <fill>
        <patternFill>
          <bgColor rgb="FFFF6600"/>
        </patternFill>
      </fill>
    </dxf>
    <dxf>
      <font>
        <u val="none"/>
        <color auto="1"/>
      </font>
      <fill>
        <patternFill patternType="solid">
          <fgColor rgb="FF008000"/>
          <bgColor rgb="FF007F00"/>
        </patternFill>
      </fill>
    </dxf>
    <dxf>
      <fill>
        <patternFill>
          <bgColor rgb="FF00007F"/>
        </patternFill>
      </fill>
    </dxf>
  </dxfs>
  <tableStyles count="0" defaultTableStyle="TableStyleMedium2" defaultPivotStyle="PivotStyleLight16"/>
  <colors>
    <mruColors>
      <color rgb="FFFF00FF"/>
      <color rgb="FFFF0080"/>
      <color rgb="FF582900"/>
      <color rgb="FFFF0000"/>
      <color rgb="FFFFFF00"/>
      <color rgb="FF7F00FF"/>
      <color rgb="FFFF7F00"/>
      <color rgb="FF00007F"/>
      <color rgb="FF007F00"/>
      <color rgb="FFFF00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31</xdr:row>
      <xdr:rowOff>0</xdr:rowOff>
    </xdr:from>
    <xdr:to>
      <xdr:col>17</xdr:col>
      <xdr:colOff>353786</xdr:colOff>
      <xdr:row>33</xdr:row>
      <xdr:rowOff>0</xdr:rowOff>
    </xdr:to>
    <xdr:cxnSp macro="">
      <xdr:nvCxnSpPr>
        <xdr:cNvPr id="5" name="Connecteur droit 4"/>
        <xdr:cNvCxnSpPr/>
      </xdr:nvCxnSpPr>
      <xdr:spPr>
        <a:xfrm>
          <a:off x="9184821" y="6232071"/>
          <a:ext cx="353786" cy="4082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43</xdr:row>
      <xdr:rowOff>0</xdr:rowOff>
    </xdr:from>
    <xdr:to>
      <xdr:col>17</xdr:col>
      <xdr:colOff>367393</xdr:colOff>
      <xdr:row>44</xdr:row>
      <xdr:rowOff>190500</xdr:rowOff>
    </xdr:to>
    <xdr:cxnSp macro="">
      <xdr:nvCxnSpPr>
        <xdr:cNvPr id="6" name="Connecteur droit 5"/>
        <xdr:cNvCxnSpPr/>
      </xdr:nvCxnSpPr>
      <xdr:spPr>
        <a:xfrm>
          <a:off x="9184821" y="8654143"/>
          <a:ext cx="367393" cy="3946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47</xdr:row>
      <xdr:rowOff>13608</xdr:rowOff>
    </xdr:from>
    <xdr:to>
      <xdr:col>17</xdr:col>
      <xdr:colOff>367393</xdr:colOff>
      <xdr:row>48</xdr:row>
      <xdr:rowOff>176893</xdr:rowOff>
    </xdr:to>
    <xdr:cxnSp macro="">
      <xdr:nvCxnSpPr>
        <xdr:cNvPr id="12" name="Connecteur droit 11"/>
        <xdr:cNvCxnSpPr/>
      </xdr:nvCxnSpPr>
      <xdr:spPr>
        <a:xfrm flipV="1">
          <a:off x="9184821" y="9484179"/>
          <a:ext cx="367393" cy="3673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16</xdr:row>
      <xdr:rowOff>190500</xdr:rowOff>
    </xdr:from>
    <xdr:to>
      <xdr:col>21</xdr:col>
      <xdr:colOff>0</xdr:colOff>
      <xdr:row>21</xdr:row>
      <xdr:rowOff>193887</xdr:rowOff>
    </xdr:to>
    <xdr:cxnSp macro="">
      <xdr:nvCxnSpPr>
        <xdr:cNvPr id="15" name="Connecteur droit 14"/>
        <xdr:cNvCxnSpPr/>
      </xdr:nvCxnSpPr>
      <xdr:spPr>
        <a:xfrm flipV="1">
          <a:off x="10708821" y="3401786"/>
          <a:ext cx="381000" cy="10103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0</xdr:colOff>
      <xdr:row>29</xdr:row>
      <xdr:rowOff>0</xdr:rowOff>
    </xdr:from>
    <xdr:to>
      <xdr:col>23</xdr:col>
      <xdr:colOff>367393</xdr:colOff>
      <xdr:row>39</xdr:row>
      <xdr:rowOff>171642</xdr:rowOff>
    </xdr:to>
    <xdr:cxnSp macro="">
      <xdr:nvCxnSpPr>
        <xdr:cNvPr id="19" name="Connecteur droit 18"/>
        <xdr:cNvCxnSpPr/>
      </xdr:nvCxnSpPr>
      <xdr:spPr>
        <a:xfrm flipV="1">
          <a:off x="12232821" y="5837464"/>
          <a:ext cx="367393" cy="21854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</xdr:colOff>
      <xdr:row>10</xdr:row>
      <xdr:rowOff>1</xdr:rowOff>
    </xdr:from>
    <xdr:to>
      <xdr:col>21</xdr:col>
      <xdr:colOff>0</xdr:colOff>
      <xdr:row>15</xdr:row>
      <xdr:rowOff>68035</xdr:rowOff>
    </xdr:to>
    <xdr:cxnSp macro="">
      <xdr:nvCxnSpPr>
        <xdr:cNvPr id="20" name="Connecteur droit 19"/>
        <xdr:cNvCxnSpPr/>
      </xdr:nvCxnSpPr>
      <xdr:spPr>
        <a:xfrm flipH="1" flipV="1">
          <a:off x="10708823" y="2000251"/>
          <a:ext cx="380998" cy="107496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</xdr:colOff>
      <xdr:row>16</xdr:row>
      <xdr:rowOff>0</xdr:rowOff>
    </xdr:from>
    <xdr:to>
      <xdr:col>24</xdr:col>
      <xdr:colOff>0</xdr:colOff>
      <xdr:row>27</xdr:row>
      <xdr:rowOff>54429</xdr:rowOff>
    </xdr:to>
    <xdr:cxnSp macro="">
      <xdr:nvCxnSpPr>
        <xdr:cNvPr id="24" name="Connecteur droit 23"/>
        <xdr:cNvCxnSpPr/>
      </xdr:nvCxnSpPr>
      <xdr:spPr>
        <a:xfrm flipH="1" flipV="1">
          <a:off x="12232822" y="3211286"/>
          <a:ext cx="380999" cy="22723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19</xdr:row>
      <xdr:rowOff>0</xdr:rowOff>
    </xdr:from>
    <xdr:to>
      <xdr:col>17</xdr:col>
      <xdr:colOff>353786</xdr:colOff>
      <xdr:row>21</xdr:row>
      <xdr:rowOff>1</xdr:rowOff>
    </xdr:to>
    <xdr:cxnSp macro="">
      <xdr:nvCxnSpPr>
        <xdr:cNvPr id="29" name="Connecteur droit 28"/>
        <xdr:cNvCxnSpPr/>
      </xdr:nvCxnSpPr>
      <xdr:spPr>
        <a:xfrm>
          <a:off x="9184821" y="3810000"/>
          <a:ext cx="353786" cy="4082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7</xdr:row>
      <xdr:rowOff>0</xdr:rowOff>
    </xdr:from>
    <xdr:to>
      <xdr:col>17</xdr:col>
      <xdr:colOff>353786</xdr:colOff>
      <xdr:row>9</xdr:row>
      <xdr:rowOff>1</xdr:rowOff>
    </xdr:to>
    <xdr:cxnSp macro="">
      <xdr:nvCxnSpPr>
        <xdr:cNvPr id="32" name="Connecteur droit 31"/>
        <xdr:cNvCxnSpPr/>
      </xdr:nvCxnSpPr>
      <xdr:spPr>
        <a:xfrm>
          <a:off x="9184821" y="1387929"/>
          <a:ext cx="353786" cy="4082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35</xdr:row>
      <xdr:rowOff>0</xdr:rowOff>
    </xdr:from>
    <xdr:to>
      <xdr:col>17</xdr:col>
      <xdr:colOff>367393</xdr:colOff>
      <xdr:row>36</xdr:row>
      <xdr:rowOff>163286</xdr:rowOff>
    </xdr:to>
    <xdr:cxnSp macro="">
      <xdr:nvCxnSpPr>
        <xdr:cNvPr id="34" name="Connecteur droit 33"/>
        <xdr:cNvCxnSpPr/>
      </xdr:nvCxnSpPr>
      <xdr:spPr>
        <a:xfrm flipV="1">
          <a:off x="9184821" y="7048500"/>
          <a:ext cx="367393" cy="3673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23</xdr:row>
      <xdr:rowOff>0</xdr:rowOff>
    </xdr:from>
    <xdr:to>
      <xdr:col>17</xdr:col>
      <xdr:colOff>367393</xdr:colOff>
      <xdr:row>24</xdr:row>
      <xdr:rowOff>163286</xdr:rowOff>
    </xdr:to>
    <xdr:cxnSp macro="">
      <xdr:nvCxnSpPr>
        <xdr:cNvPr id="35" name="Connecteur droit 34"/>
        <xdr:cNvCxnSpPr/>
      </xdr:nvCxnSpPr>
      <xdr:spPr>
        <a:xfrm flipV="1">
          <a:off x="9184821" y="4626429"/>
          <a:ext cx="367393" cy="3673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11</xdr:row>
      <xdr:rowOff>0</xdr:rowOff>
    </xdr:from>
    <xdr:to>
      <xdr:col>17</xdr:col>
      <xdr:colOff>367393</xdr:colOff>
      <xdr:row>12</xdr:row>
      <xdr:rowOff>163286</xdr:rowOff>
    </xdr:to>
    <xdr:cxnSp macro="">
      <xdr:nvCxnSpPr>
        <xdr:cNvPr id="36" name="Connecteur droit 35"/>
        <xdr:cNvCxnSpPr/>
      </xdr:nvCxnSpPr>
      <xdr:spPr>
        <a:xfrm flipV="1">
          <a:off x="9184821" y="2204357"/>
          <a:ext cx="367393" cy="36739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367393</xdr:colOff>
      <xdr:row>41</xdr:row>
      <xdr:rowOff>40821</xdr:rowOff>
    </xdr:from>
    <xdr:to>
      <xdr:col>20</xdr:col>
      <xdr:colOff>367393</xdr:colOff>
      <xdr:row>46</xdr:row>
      <xdr:rowOff>44208</xdr:rowOff>
    </xdr:to>
    <xdr:cxnSp macro="">
      <xdr:nvCxnSpPr>
        <xdr:cNvPr id="43" name="Connecteur droit 42"/>
        <xdr:cNvCxnSpPr/>
      </xdr:nvCxnSpPr>
      <xdr:spPr>
        <a:xfrm flipV="1">
          <a:off x="10695214" y="8300357"/>
          <a:ext cx="381000" cy="10103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34</xdr:row>
      <xdr:rowOff>0</xdr:rowOff>
    </xdr:from>
    <xdr:to>
      <xdr:col>20</xdr:col>
      <xdr:colOff>380998</xdr:colOff>
      <xdr:row>39</xdr:row>
      <xdr:rowOff>68035</xdr:rowOff>
    </xdr:to>
    <xdr:cxnSp macro="">
      <xdr:nvCxnSpPr>
        <xdr:cNvPr id="44" name="Connecteur droit 43"/>
        <xdr:cNvCxnSpPr/>
      </xdr:nvCxnSpPr>
      <xdr:spPr>
        <a:xfrm flipH="1" flipV="1">
          <a:off x="10708821" y="6844393"/>
          <a:ext cx="380998" cy="107496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Q73"/>
  <sheetViews>
    <sheetView tabSelected="1" topLeftCell="B1" zoomScale="70" zoomScaleNormal="70" workbookViewId="0">
      <pane xSplit="1" ySplit="4" topLeftCell="C5" activePane="bottomRight" state="frozen"/>
      <selection activeCell="B1" sqref="B1"/>
      <selection pane="topRight" activeCell="C1" sqref="C1"/>
      <selection pane="bottomLeft" activeCell="B5" sqref="B5"/>
      <selection pane="bottomRight" activeCell="K15" sqref="K15"/>
    </sheetView>
  </sheetViews>
  <sheetFormatPr baseColWidth="10" defaultRowHeight="15" x14ac:dyDescent="0.25"/>
  <cols>
    <col min="1" max="1" width="25.7109375" style="1" customWidth="1"/>
    <col min="2" max="2" width="6.42578125" style="1" bestFit="1" customWidth="1"/>
    <col min="3" max="3" width="12.85546875" style="1" bestFit="1" customWidth="1"/>
    <col min="4" max="5" width="2.5703125" style="1" bestFit="1" customWidth="1"/>
    <col min="6" max="7" width="12.85546875" style="1" bestFit="1" customWidth="1"/>
    <col min="8" max="8" width="11.7109375" style="1" customWidth="1"/>
    <col min="9" max="9" width="4" style="1" bestFit="1" customWidth="1"/>
    <col min="10" max="10" width="12.85546875" style="1" bestFit="1" customWidth="1"/>
    <col min="11" max="11" width="7.28515625" style="1" bestFit="1" customWidth="1"/>
    <col min="12" max="14" width="4.28515625" style="1" bestFit="1" customWidth="1"/>
    <col min="15" max="15" width="11.42578125" style="1"/>
    <col min="16" max="16" width="11.5703125" style="1" bestFit="1" customWidth="1"/>
    <col min="17" max="17" width="5" style="1" customWidth="1"/>
    <col min="18" max="18" width="5.7109375" style="1" customWidth="1"/>
    <col min="19" max="19" width="11.5703125" style="1" bestFit="1" customWidth="1"/>
    <col min="20" max="20" width="5" style="1" customWidth="1"/>
    <col min="21" max="21" width="5.7109375" style="1" customWidth="1"/>
    <col min="22" max="22" width="11.42578125" style="1"/>
    <col min="23" max="23" width="5" style="1" customWidth="1"/>
    <col min="24" max="24" width="5.7109375" style="1" customWidth="1"/>
    <col min="25" max="25" width="11.42578125" style="1" bestFit="1" customWidth="1"/>
    <col min="26" max="26" width="5" style="1" customWidth="1"/>
    <col min="27" max="31" width="11.7109375" style="1" customWidth="1"/>
    <col min="32" max="32" width="15.7109375" style="292" customWidth="1"/>
    <col min="33" max="40" width="15.7109375" style="292" hidden="1" customWidth="1"/>
    <col min="41" max="42" width="15.7109375" style="292" customWidth="1"/>
    <col min="43" max="43" width="15.7109375" style="293" customWidth="1"/>
    <col min="44" max="16384" width="11.42578125" style="1"/>
  </cols>
  <sheetData>
    <row r="1" spans="2:40" ht="15.75" thickBot="1" x14ac:dyDescent="0.3"/>
    <row r="2" spans="2:40" x14ac:dyDescent="0.25">
      <c r="B2" s="286" t="s">
        <v>0</v>
      </c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8"/>
    </row>
    <row r="3" spans="2:40" ht="15.75" thickBot="1" x14ac:dyDescent="0.3">
      <c r="B3" s="289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  <c r="P3" s="290"/>
      <c r="Q3" s="290"/>
      <c r="R3" s="290"/>
      <c r="S3" s="290"/>
      <c r="T3" s="290"/>
      <c r="U3" s="290"/>
      <c r="V3" s="290"/>
      <c r="W3" s="290"/>
      <c r="X3" s="290"/>
      <c r="Y3" s="290"/>
      <c r="Z3" s="290"/>
      <c r="AA3" s="291"/>
    </row>
    <row r="4" spans="2:40" ht="15.75" thickBot="1" x14ac:dyDescent="0.3">
      <c r="B4" s="9" t="s">
        <v>1</v>
      </c>
      <c r="C4" s="226" t="s">
        <v>7</v>
      </c>
      <c r="D4" s="251"/>
      <c r="E4" s="251"/>
      <c r="F4" s="227"/>
      <c r="G4" s="200" t="s">
        <v>42</v>
      </c>
      <c r="H4" s="209"/>
      <c r="I4" s="226" t="s">
        <v>55</v>
      </c>
      <c r="J4" s="251"/>
      <c r="K4" s="251"/>
      <c r="L4" s="251"/>
      <c r="M4" s="251"/>
      <c r="N4" s="227"/>
      <c r="O4" s="209"/>
      <c r="P4" s="226" t="s">
        <v>53</v>
      </c>
      <c r="Q4" s="227"/>
      <c r="R4" s="209"/>
      <c r="S4" s="252" t="s">
        <v>51</v>
      </c>
      <c r="T4" s="227"/>
      <c r="U4" s="209"/>
      <c r="V4" s="226" t="s">
        <v>52</v>
      </c>
      <c r="W4" s="227"/>
      <c r="X4" s="209"/>
      <c r="Y4" s="226" t="s">
        <v>62</v>
      </c>
      <c r="Z4" s="227"/>
      <c r="AA4" s="213"/>
    </row>
    <row r="5" spans="2:40" ht="15.75" thickBot="1" x14ac:dyDescent="0.3">
      <c r="B5" s="234" t="s">
        <v>2</v>
      </c>
      <c r="C5" s="15" t="s">
        <v>3</v>
      </c>
      <c r="D5" s="16">
        <v>4</v>
      </c>
      <c r="E5" s="17">
        <v>1</v>
      </c>
      <c r="F5" s="16" t="str">
        <f>C8</f>
        <v>Cameroun</v>
      </c>
      <c r="G5" s="18" t="str">
        <f t="shared" ref="G5:G52" si="0">IF(D5&gt;E5,C5,IF(D5&lt;E5,F5,IF(D5="","Non joué",IF(D5=E5,"Égalité"))))</f>
        <v>Brésil</v>
      </c>
      <c r="H5" s="210"/>
      <c r="I5" s="10" t="s">
        <v>47</v>
      </c>
      <c r="J5" s="199" t="s">
        <v>49</v>
      </c>
      <c r="K5" s="198" t="s">
        <v>43</v>
      </c>
      <c r="L5" s="179" t="s">
        <v>44</v>
      </c>
      <c r="M5" s="179" t="s">
        <v>45</v>
      </c>
      <c r="N5" s="180" t="s">
        <v>46</v>
      </c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13"/>
      <c r="AH5" s="292" t="s">
        <v>49</v>
      </c>
      <c r="AI5" s="294" t="s">
        <v>44</v>
      </c>
      <c r="AJ5" s="294" t="s">
        <v>45</v>
      </c>
      <c r="AK5" s="295" t="s">
        <v>46</v>
      </c>
      <c r="AL5" s="294" t="s">
        <v>43</v>
      </c>
      <c r="AM5" s="292" t="s">
        <v>48</v>
      </c>
      <c r="AN5" s="294" t="s">
        <v>49</v>
      </c>
    </row>
    <row r="6" spans="2:40" x14ac:dyDescent="0.25">
      <c r="B6" s="235"/>
      <c r="C6" s="19" t="str">
        <f>C5</f>
        <v>Brésil</v>
      </c>
      <c r="D6" s="20">
        <v>3</v>
      </c>
      <c r="E6" s="21">
        <v>1</v>
      </c>
      <c r="F6" s="20" t="str">
        <f>C10</f>
        <v>Croatie</v>
      </c>
      <c r="G6" s="22" t="str">
        <f t="shared" si="0"/>
        <v>Brésil</v>
      </c>
      <c r="H6" s="210"/>
      <c r="I6" s="175">
        <v>1</v>
      </c>
      <c r="J6" s="176" t="str">
        <f>VLOOKUP(MAX(AM6:AM9),AM6:AN9,2,FALSE)</f>
        <v>Brésil</v>
      </c>
      <c r="K6" s="177">
        <f>VLOOKUP(J6,AH6:AL9,5,FALSE)</f>
        <v>7</v>
      </c>
      <c r="L6" s="177">
        <f>VLOOKUP(J6,AH6:AI9,2,FALSE)</f>
        <v>7</v>
      </c>
      <c r="M6" s="177">
        <f>VLOOKUP(J6,AH6:AJ9,3,FALSE)</f>
        <v>2</v>
      </c>
      <c r="N6" s="178">
        <f>VLOOKUP(J6,AH6:AK9,4,FALSE)</f>
        <v>5</v>
      </c>
      <c r="O6" s="209"/>
      <c r="P6" s="239" t="str">
        <f>J6</f>
        <v>Brésil</v>
      </c>
      <c r="Q6" s="241" t="s">
        <v>56</v>
      </c>
      <c r="R6" s="209"/>
      <c r="S6" s="209"/>
      <c r="T6" s="209"/>
      <c r="U6" s="209"/>
      <c r="V6" s="209"/>
      <c r="W6" s="209"/>
      <c r="X6" s="209"/>
      <c r="Y6" s="209"/>
      <c r="Z6" s="209"/>
      <c r="AA6" s="213"/>
      <c r="AH6" s="292" t="str">
        <f>C5</f>
        <v>Brésil</v>
      </c>
      <c r="AI6" s="294">
        <f>SUM(D5:D7)</f>
        <v>7</v>
      </c>
      <c r="AJ6" s="294">
        <f>SUM(E5:E7)</f>
        <v>2</v>
      </c>
      <c r="AK6" s="294">
        <f>SUM(AI6,-AJ6)</f>
        <v>5</v>
      </c>
      <c r="AL6" s="294">
        <f>COUNTIF(G5:G10,C5)*3+COUNTIF(G5:G7,"Égalité")</f>
        <v>7</v>
      </c>
      <c r="AM6" s="292">
        <f>SUM(AL6,AK6/100,AI6/10000)</f>
        <v>7.0507</v>
      </c>
      <c r="AN6" s="294" t="str">
        <f>C5</f>
        <v>Brésil</v>
      </c>
    </row>
    <row r="7" spans="2:40" x14ac:dyDescent="0.25">
      <c r="B7" s="235"/>
      <c r="C7" s="19" t="str">
        <f>C5</f>
        <v>Brésil</v>
      </c>
      <c r="D7" s="20">
        <v>0</v>
      </c>
      <c r="E7" s="21">
        <v>0</v>
      </c>
      <c r="F7" s="20" t="s">
        <v>6</v>
      </c>
      <c r="G7" s="22" t="str">
        <f t="shared" si="0"/>
        <v>Égalité</v>
      </c>
      <c r="H7" s="210"/>
      <c r="I7" s="14">
        <v>2</v>
      </c>
      <c r="J7" s="147" t="str">
        <f>VLOOKUP(LARGE(AM6:AM9,2),AM6:AN9,2,FALSE)</f>
        <v>Mexique</v>
      </c>
      <c r="K7" s="13">
        <f>VLOOKUP(J7,AH6:AL9,5,FALSE)</f>
        <v>7</v>
      </c>
      <c r="L7" s="13">
        <f>VLOOKUP(J7,AH6:AI9,2,FALSE)</f>
        <v>4</v>
      </c>
      <c r="M7" s="13">
        <f>VLOOKUP(J7,AH6:AJ9,3,FALSE)</f>
        <v>1</v>
      </c>
      <c r="N7" s="148">
        <f>VLOOKUP(J7,AH6:AK9,4,FALSE)</f>
        <v>3</v>
      </c>
      <c r="O7" s="209"/>
      <c r="P7" s="240"/>
      <c r="Q7" s="237"/>
      <c r="R7" s="209"/>
      <c r="S7" s="209"/>
      <c r="T7" s="209"/>
      <c r="U7" s="209"/>
      <c r="V7" s="209"/>
      <c r="W7" s="209"/>
      <c r="X7" s="209"/>
      <c r="Y7" s="209"/>
      <c r="Z7" s="209"/>
      <c r="AA7" s="213"/>
      <c r="AH7" s="294" t="str">
        <f>C8</f>
        <v>Cameroun</v>
      </c>
      <c r="AI7" s="294">
        <f>SUM(D8,D9,E5)</f>
        <v>1</v>
      </c>
      <c r="AJ7" s="294">
        <f>SUM(D5,E8,E9)</f>
        <v>9</v>
      </c>
      <c r="AK7" s="294">
        <f t="shared" ref="AK7:AK9" si="1">SUM(AI7,-AJ7)</f>
        <v>-8</v>
      </c>
      <c r="AL7" s="294">
        <f>COUNTIF(G5:G10,C8)*3+COUNTIF(G5,"Égalité")+COUNTIF(G8:G9,"Égalité")</f>
        <v>0</v>
      </c>
      <c r="AM7" s="292">
        <f t="shared" ref="AM7:AM9" si="2">SUM(AL7,AK7/100,AI7/10000)</f>
        <v>-7.9899999999999999E-2</v>
      </c>
      <c r="AN7" s="294" t="str">
        <f>C8</f>
        <v>Cameroun</v>
      </c>
    </row>
    <row r="8" spans="2:40" ht="15.75" customHeight="1" thickBot="1" x14ac:dyDescent="0.3">
      <c r="B8" s="235"/>
      <c r="C8" s="19" t="s">
        <v>4</v>
      </c>
      <c r="D8" s="20">
        <v>0</v>
      </c>
      <c r="E8" s="21">
        <v>4</v>
      </c>
      <c r="F8" s="20" t="str">
        <f>C10</f>
        <v>Croatie</v>
      </c>
      <c r="G8" s="22" t="str">
        <f t="shared" si="0"/>
        <v>Croatie</v>
      </c>
      <c r="H8" s="210"/>
      <c r="I8" s="22">
        <v>3</v>
      </c>
      <c r="J8" s="149" t="str">
        <f>VLOOKUP(LARGE(AM6:AM9,3),AM6:AN9,2,FALSE)</f>
        <v>Croatie</v>
      </c>
      <c r="K8" s="20">
        <f>VLOOKUP(J8,AH6:AL9,5,FALSE)</f>
        <v>3</v>
      </c>
      <c r="L8" s="20">
        <f>VLOOKUP(J8,AH6:AI9,2,FALSE)</f>
        <v>6</v>
      </c>
      <c r="M8" s="20">
        <f>VLOOKUP(J8,AH6:AJ9,3,FALSE)</f>
        <v>6</v>
      </c>
      <c r="N8" s="150">
        <f>VLOOKUP(J8,AH6:AK9,4,FALSE)</f>
        <v>0</v>
      </c>
      <c r="O8" s="209"/>
      <c r="P8" s="263" t="str">
        <f>J13</f>
        <v>Chili</v>
      </c>
      <c r="Q8" s="237" t="s">
        <v>57</v>
      </c>
      <c r="R8" s="209"/>
      <c r="S8" s="209"/>
      <c r="T8" s="209"/>
      <c r="U8" s="209"/>
      <c r="V8" s="209"/>
      <c r="W8" s="209"/>
      <c r="X8" s="209"/>
      <c r="Y8" s="209"/>
      <c r="Z8" s="209"/>
      <c r="AA8" s="213"/>
      <c r="AH8" s="294" t="str">
        <f>C10</f>
        <v>Croatie</v>
      </c>
      <c r="AI8" s="294">
        <f>SUM(D10,E6,E8)</f>
        <v>6</v>
      </c>
      <c r="AJ8" s="294">
        <f>SUM(D6,D8,E10)</f>
        <v>6</v>
      </c>
      <c r="AK8" s="294">
        <f t="shared" si="1"/>
        <v>0</v>
      </c>
      <c r="AL8" s="294">
        <f>COUNTIF(G5:G10,C10)*3+COUNTIF(G6,"Égalité")+COUNTIF(G8,"Égalité")+COUNTIF(G10,"Égalité")</f>
        <v>3</v>
      </c>
      <c r="AM8" s="292">
        <f t="shared" si="2"/>
        <v>3.0005999999999999</v>
      </c>
      <c r="AN8" s="294" t="str">
        <f>C10</f>
        <v>Croatie</v>
      </c>
    </row>
    <row r="9" spans="2:40" ht="15.75" thickBot="1" x14ac:dyDescent="0.3">
      <c r="B9" s="235"/>
      <c r="C9" s="19" t="str">
        <f>C8</f>
        <v>Cameroun</v>
      </c>
      <c r="D9" s="20">
        <v>0</v>
      </c>
      <c r="E9" s="21">
        <v>1</v>
      </c>
      <c r="F9" s="20" t="str">
        <f>F7</f>
        <v>Mexique</v>
      </c>
      <c r="G9" s="22" t="str">
        <f t="shared" si="0"/>
        <v>Mexique</v>
      </c>
      <c r="H9" s="210"/>
      <c r="I9" s="26">
        <v>4</v>
      </c>
      <c r="J9" s="154" t="str">
        <f>VLOOKUP(LARGE(AM6:AM9,4),AM6:AN9,2,FALSE)</f>
        <v>Cameroun</v>
      </c>
      <c r="K9" s="155">
        <f>VLOOKUP(J9,AH6:AL9,5,FALSE)</f>
        <v>0</v>
      </c>
      <c r="L9" s="24">
        <f>VLOOKUP(J9,AH6:AI9,2,FALSE)</f>
        <v>1</v>
      </c>
      <c r="M9" s="24">
        <f>VLOOKUP(J9,AH6:AJ9,3,FALSE)</f>
        <v>9</v>
      </c>
      <c r="N9" s="156">
        <f>VLOOKUP(J9,AH6:AK9,4,FALSE)</f>
        <v>-8</v>
      </c>
      <c r="O9" s="209"/>
      <c r="P9" s="264"/>
      <c r="Q9" s="238"/>
      <c r="R9" s="209"/>
      <c r="S9" s="273" t="str">
        <f>IF(Q6&lt;&gt;Q8,IF(Q6&gt;Q8,P6,P8),"")</f>
        <v>Brésil</v>
      </c>
      <c r="T9" s="241">
        <v>2</v>
      </c>
      <c r="U9" s="209"/>
      <c r="V9" s="209"/>
      <c r="W9" s="209"/>
      <c r="X9" s="209"/>
      <c r="Y9" s="209"/>
      <c r="Z9" s="209"/>
      <c r="AA9" s="213"/>
      <c r="AH9" s="294" t="str">
        <f>F7</f>
        <v>Mexique</v>
      </c>
      <c r="AI9" s="294">
        <f>SUM(E7,E9,E10)</f>
        <v>4</v>
      </c>
      <c r="AJ9" s="294">
        <f>SUM(D7,D9,D10)</f>
        <v>1</v>
      </c>
      <c r="AK9" s="294">
        <f t="shared" si="1"/>
        <v>3</v>
      </c>
      <c r="AL9" s="295">
        <f>COUNTIF(G5:G10,F7)*3+COUNTIF(G7,"Égalité")+COUNTIF(G9:G10,"Égalité")</f>
        <v>7</v>
      </c>
      <c r="AM9" s="292">
        <f t="shared" si="2"/>
        <v>7.0304000000000002</v>
      </c>
      <c r="AN9" s="294" t="str">
        <f>F7</f>
        <v>Mexique</v>
      </c>
    </row>
    <row r="10" spans="2:40" ht="15.75" thickBot="1" x14ac:dyDescent="0.3">
      <c r="B10" s="236"/>
      <c r="C10" s="23" t="s">
        <v>5</v>
      </c>
      <c r="D10" s="24">
        <v>1</v>
      </c>
      <c r="E10" s="25">
        <v>3</v>
      </c>
      <c r="F10" s="24" t="str">
        <f>F7</f>
        <v>Mexique</v>
      </c>
      <c r="G10" s="26" t="str">
        <f t="shared" si="0"/>
        <v>Mexique</v>
      </c>
      <c r="H10" s="210"/>
      <c r="I10" s="209"/>
      <c r="J10" s="209"/>
      <c r="K10" s="209"/>
      <c r="L10" s="209"/>
      <c r="M10" s="209"/>
      <c r="N10" s="209"/>
      <c r="O10" s="209"/>
      <c r="P10" s="209"/>
      <c r="Q10" s="209"/>
      <c r="R10" s="209"/>
      <c r="S10" s="274"/>
      <c r="T10" s="237"/>
      <c r="U10" s="209"/>
      <c r="V10" s="209"/>
      <c r="W10" s="209"/>
      <c r="X10" s="209"/>
      <c r="Y10" s="209"/>
      <c r="Z10" s="209"/>
      <c r="AA10" s="213"/>
    </row>
    <row r="11" spans="2:40" ht="15.75" thickBot="1" x14ac:dyDescent="0.3">
      <c r="B11" s="228" t="s">
        <v>8</v>
      </c>
      <c r="C11" s="27" t="s">
        <v>15</v>
      </c>
      <c r="D11" s="28">
        <v>1</v>
      </c>
      <c r="E11" s="29">
        <v>3</v>
      </c>
      <c r="F11" s="28" t="str">
        <f>C14</f>
        <v>Chili</v>
      </c>
      <c r="G11" s="30" t="str">
        <f t="shared" si="0"/>
        <v>Chili</v>
      </c>
      <c r="H11" s="210"/>
      <c r="I11" s="10" t="s">
        <v>47</v>
      </c>
      <c r="J11" s="199" t="s">
        <v>49</v>
      </c>
      <c r="K11" s="198" t="s">
        <v>43</v>
      </c>
      <c r="L11" s="179" t="s">
        <v>44</v>
      </c>
      <c r="M11" s="179" t="s">
        <v>45</v>
      </c>
      <c r="N11" s="180" t="s">
        <v>46</v>
      </c>
      <c r="O11" s="209"/>
      <c r="P11" s="209"/>
      <c r="Q11" s="209"/>
      <c r="R11" s="209"/>
      <c r="S11" s="274" t="str">
        <f>IF(Q12&lt;&gt;Q14,IF(Q12&gt;Q14,P12,P14),"")</f>
        <v>Colombie</v>
      </c>
      <c r="T11" s="237">
        <v>1</v>
      </c>
      <c r="U11" s="209"/>
      <c r="V11" s="209"/>
      <c r="W11" s="209"/>
      <c r="X11" s="209"/>
      <c r="Y11" s="209"/>
      <c r="Z11" s="209"/>
      <c r="AA11" s="213"/>
      <c r="AH11" s="292" t="s">
        <v>49</v>
      </c>
      <c r="AI11" s="294" t="s">
        <v>44</v>
      </c>
      <c r="AJ11" s="294" t="s">
        <v>45</v>
      </c>
      <c r="AK11" s="295" t="s">
        <v>46</v>
      </c>
      <c r="AL11" s="294" t="s">
        <v>43</v>
      </c>
      <c r="AM11" s="292" t="s">
        <v>48</v>
      </c>
      <c r="AN11" s="294" t="s">
        <v>49</v>
      </c>
    </row>
    <row r="12" spans="2:40" ht="15.75" thickBot="1" x14ac:dyDescent="0.3">
      <c r="B12" s="229"/>
      <c r="C12" s="31" t="str">
        <f>C11</f>
        <v>Australie</v>
      </c>
      <c r="D12" s="32">
        <v>0</v>
      </c>
      <c r="E12" s="33">
        <v>3</v>
      </c>
      <c r="F12" s="32" t="str">
        <f>C16</f>
        <v>Espagne</v>
      </c>
      <c r="G12" s="34" t="str">
        <f t="shared" si="0"/>
        <v>Espagne</v>
      </c>
      <c r="H12" s="210"/>
      <c r="I12" s="181">
        <v>1</v>
      </c>
      <c r="J12" s="182" t="str">
        <f>VLOOKUP(MAX(AM12:AM15),AM12:AN15,2,FALSE)</f>
        <v>Pays-Bas</v>
      </c>
      <c r="K12" s="183">
        <f>VLOOKUP(J12,AH12:AL15,5,FALSE)</f>
        <v>9</v>
      </c>
      <c r="L12" s="183">
        <f>VLOOKUP(J12,AH12:AI15,2,FALSE)</f>
        <v>10</v>
      </c>
      <c r="M12" s="183">
        <f>VLOOKUP(J12,AH12:AJ15,3,FALSE)</f>
        <v>3</v>
      </c>
      <c r="N12" s="184">
        <f>VLOOKUP(J12,AH12:AK15,4,FALSE)</f>
        <v>7</v>
      </c>
      <c r="O12" s="209"/>
      <c r="P12" s="261" t="str">
        <f>J18</f>
        <v>Colombie</v>
      </c>
      <c r="Q12" s="241">
        <v>2</v>
      </c>
      <c r="R12" s="209"/>
      <c r="S12" s="283"/>
      <c r="T12" s="238"/>
      <c r="U12" s="209"/>
      <c r="V12" s="209"/>
      <c r="W12" s="209"/>
      <c r="X12" s="209"/>
      <c r="Y12" s="209"/>
      <c r="Z12" s="209"/>
      <c r="AA12" s="213"/>
      <c r="AH12" s="292" t="str">
        <f>C11</f>
        <v>Australie</v>
      </c>
      <c r="AI12" s="294">
        <f>SUM(D11:D13)</f>
        <v>3</v>
      </c>
      <c r="AJ12" s="294">
        <f>SUM(E11:E13)</f>
        <v>9</v>
      </c>
      <c r="AK12" s="294">
        <f>SUM(AI12,-AJ12)</f>
        <v>-6</v>
      </c>
      <c r="AL12" s="294">
        <f>COUNTIF(G11:G16,C11)*3+COUNTIF(G11:G13,"Égalité")</f>
        <v>0</v>
      </c>
      <c r="AM12" s="292">
        <f>SUM(AL12,AK12/100,AI12/10000)</f>
        <v>-5.9699999999999996E-2</v>
      </c>
      <c r="AN12" s="294" t="str">
        <f>C11</f>
        <v>Australie</v>
      </c>
    </row>
    <row r="13" spans="2:40" x14ac:dyDescent="0.25">
      <c r="B13" s="229"/>
      <c r="C13" s="31" t="str">
        <f>C11</f>
        <v>Australie</v>
      </c>
      <c r="D13" s="32">
        <v>2</v>
      </c>
      <c r="E13" s="33">
        <v>3</v>
      </c>
      <c r="F13" s="32" t="s">
        <v>18</v>
      </c>
      <c r="G13" s="34" t="str">
        <f t="shared" si="0"/>
        <v>Pays-Bas</v>
      </c>
      <c r="H13" s="210"/>
      <c r="I13" s="141">
        <v>2</v>
      </c>
      <c r="J13" s="142" t="str">
        <f>VLOOKUP(LARGE(AM12:AM15,2),AM12:AN15,2,FALSE)</f>
        <v>Chili</v>
      </c>
      <c r="K13" s="143">
        <f>VLOOKUP(J13,AH12:AL15,5,FALSE)</f>
        <v>6</v>
      </c>
      <c r="L13" s="143">
        <f>VLOOKUP(J13,AH12:AI15,2,FALSE)</f>
        <v>5</v>
      </c>
      <c r="M13" s="143">
        <f>VLOOKUP(J13,AH12:AJ15,3,FALSE)</f>
        <v>3</v>
      </c>
      <c r="N13" s="144">
        <f>VLOOKUP(J13,AH12:AK15,4,FALSE)</f>
        <v>2</v>
      </c>
      <c r="O13" s="209"/>
      <c r="P13" s="262"/>
      <c r="Q13" s="237"/>
      <c r="R13" s="209"/>
      <c r="S13" s="209"/>
      <c r="T13" s="209"/>
      <c r="U13" s="209"/>
      <c r="V13" s="209"/>
      <c r="W13" s="209"/>
      <c r="X13" s="209"/>
      <c r="Y13" s="209"/>
      <c r="Z13" s="209"/>
      <c r="AA13" s="213"/>
      <c r="AH13" s="294" t="str">
        <f>C14</f>
        <v>Chili</v>
      </c>
      <c r="AI13" s="294">
        <f>SUM(D14,D15,E11)</f>
        <v>5</v>
      </c>
      <c r="AJ13" s="294">
        <f>SUM(D11,E14,E15)</f>
        <v>3</v>
      </c>
      <c r="AK13" s="294">
        <f t="shared" ref="AK13:AK15" si="3">SUM(AI13,-AJ13)</f>
        <v>2</v>
      </c>
      <c r="AL13" s="294">
        <f>COUNTIF(G11:G16,C14)*3+COUNTIF(G11,"Égalité")+COUNTIF(G14:G15,"Égalité")</f>
        <v>6</v>
      </c>
      <c r="AM13" s="292">
        <f t="shared" ref="AM13:AM15" si="4">SUM(AL13,AK13/100,AI13/10000)</f>
        <v>6.0204999999999993</v>
      </c>
      <c r="AN13" s="294" t="str">
        <f>C14</f>
        <v>Chili</v>
      </c>
    </row>
    <row r="14" spans="2:40" ht="15.75" thickBot="1" x14ac:dyDescent="0.3">
      <c r="B14" s="229"/>
      <c r="C14" s="31" t="s">
        <v>16</v>
      </c>
      <c r="D14" s="32">
        <v>2</v>
      </c>
      <c r="E14" s="33">
        <v>0</v>
      </c>
      <c r="F14" s="32" t="str">
        <f>C16</f>
        <v>Espagne</v>
      </c>
      <c r="G14" s="34" t="str">
        <f t="shared" si="0"/>
        <v>Chili</v>
      </c>
      <c r="H14" s="210"/>
      <c r="I14" s="34">
        <v>3</v>
      </c>
      <c r="J14" s="145" t="str">
        <f>VLOOKUP(LARGE(AM12:AM15,3),AM12:AN15,2,FALSE)</f>
        <v>Espagne</v>
      </c>
      <c r="K14" s="32">
        <f>VLOOKUP(J14,AH12:AL15,5,FALSE)</f>
        <v>3</v>
      </c>
      <c r="L14" s="32">
        <f>VLOOKUP(J14,AH12:AI15,2,FALSE)</f>
        <v>4</v>
      </c>
      <c r="M14" s="32">
        <f>VLOOKUP(J14,AH12:AJ15,3,FALSE)</f>
        <v>7</v>
      </c>
      <c r="N14" s="146">
        <f>VLOOKUP(J14,AH12:AK15,4,FALSE)</f>
        <v>-3</v>
      </c>
      <c r="O14" s="209"/>
      <c r="P14" s="259" t="str">
        <f>J25</f>
        <v>Uruguay</v>
      </c>
      <c r="Q14" s="237">
        <v>0</v>
      </c>
      <c r="R14" s="209"/>
      <c r="S14" s="209"/>
      <c r="T14" s="209"/>
      <c r="U14" s="209"/>
      <c r="V14" s="209"/>
      <c r="W14" s="209"/>
      <c r="X14" s="209"/>
      <c r="Y14" s="209"/>
      <c r="Z14" s="209"/>
      <c r="AA14" s="213"/>
      <c r="AH14" s="294" t="str">
        <f>C16</f>
        <v>Espagne</v>
      </c>
      <c r="AI14" s="294">
        <f>SUM(D16,E12,E14)</f>
        <v>4</v>
      </c>
      <c r="AJ14" s="294">
        <f>SUM(D12,D14,E16)</f>
        <v>7</v>
      </c>
      <c r="AK14" s="294">
        <f t="shared" si="3"/>
        <v>-3</v>
      </c>
      <c r="AL14" s="294">
        <f>COUNTIF(G11:G16,C16)*3+COUNTIF(G12,"Égalité")+COUNTIF(G14,"Égalité")+COUNTIF(G16,"Égalité")</f>
        <v>3</v>
      </c>
      <c r="AM14" s="292">
        <f t="shared" si="4"/>
        <v>2.9704000000000002</v>
      </c>
      <c r="AN14" s="294" t="str">
        <f>C16</f>
        <v>Espagne</v>
      </c>
    </row>
    <row r="15" spans="2:40" ht="15.75" thickBot="1" x14ac:dyDescent="0.3">
      <c r="B15" s="229"/>
      <c r="C15" s="31" t="str">
        <f>C14</f>
        <v>Chili</v>
      </c>
      <c r="D15" s="32">
        <v>0</v>
      </c>
      <c r="E15" s="33">
        <v>2</v>
      </c>
      <c r="F15" s="32" t="str">
        <f>F13</f>
        <v>Pays-Bas</v>
      </c>
      <c r="G15" s="34" t="str">
        <f t="shared" si="0"/>
        <v>Pays-Bas</v>
      </c>
      <c r="H15" s="210"/>
      <c r="I15" s="38">
        <v>4</v>
      </c>
      <c r="J15" s="157" t="str">
        <f>VLOOKUP(LARGE(AM12:AM15,4),AM12:AN15,2,FALSE)</f>
        <v>Australie</v>
      </c>
      <c r="K15" s="158">
        <f>VLOOKUP(J15,AH12:AL15,5,FALSE)</f>
        <v>0</v>
      </c>
      <c r="L15" s="36">
        <f>VLOOKUP(J15,AH12:AI15,2,FALSE)</f>
        <v>3</v>
      </c>
      <c r="M15" s="36">
        <f>VLOOKUP(J15,AH12:AJ15,3,FALSE)</f>
        <v>9</v>
      </c>
      <c r="N15" s="159">
        <f>VLOOKUP(J15,AH12:AK15,4,FALSE)</f>
        <v>-6</v>
      </c>
      <c r="O15" s="209"/>
      <c r="P15" s="260"/>
      <c r="Q15" s="238"/>
      <c r="R15" s="209"/>
      <c r="S15" s="216"/>
      <c r="T15" s="216"/>
      <c r="U15" s="209"/>
      <c r="V15" s="273" t="str">
        <f>IF(T9&lt;&gt;T11,IF(T9&gt;T11,S9,S11),"")</f>
        <v>Brésil</v>
      </c>
      <c r="W15" s="241">
        <v>1</v>
      </c>
      <c r="X15" s="209"/>
      <c r="Y15" s="209"/>
      <c r="Z15" s="209"/>
      <c r="AA15" s="213"/>
      <c r="AH15" s="294" t="str">
        <f>F13</f>
        <v>Pays-Bas</v>
      </c>
      <c r="AI15" s="294">
        <f>SUM(E13,E15,E16)</f>
        <v>10</v>
      </c>
      <c r="AJ15" s="294">
        <f>SUM(D13,D15,D16)</f>
        <v>3</v>
      </c>
      <c r="AK15" s="294">
        <f t="shared" si="3"/>
        <v>7</v>
      </c>
      <c r="AL15" s="295">
        <f>COUNTIF(G11:G16,F13)*3+COUNTIF(G13,"Égalité")+COUNTIF(G15:G16,"Égalité")</f>
        <v>9</v>
      </c>
      <c r="AM15" s="292">
        <f t="shared" si="4"/>
        <v>9.0709999999999997</v>
      </c>
      <c r="AN15" s="294" t="str">
        <f>F13</f>
        <v>Pays-Bas</v>
      </c>
    </row>
    <row r="16" spans="2:40" ht="15.75" thickBot="1" x14ac:dyDescent="0.3">
      <c r="B16" s="230"/>
      <c r="C16" s="35" t="s">
        <v>17</v>
      </c>
      <c r="D16" s="36">
        <v>1</v>
      </c>
      <c r="E16" s="37">
        <v>5</v>
      </c>
      <c r="F16" s="36" t="str">
        <f>F13</f>
        <v>Pays-Bas</v>
      </c>
      <c r="G16" s="38" t="str">
        <f t="shared" si="0"/>
        <v>Pays-Bas</v>
      </c>
      <c r="H16" s="210"/>
      <c r="I16" s="209"/>
      <c r="J16" s="209"/>
      <c r="K16" s="209"/>
      <c r="L16" s="209"/>
      <c r="M16" s="209"/>
      <c r="N16" s="209"/>
      <c r="O16" s="209"/>
      <c r="P16" s="209"/>
      <c r="Q16" s="209"/>
      <c r="R16" s="209"/>
      <c r="S16" s="216"/>
      <c r="T16" s="216"/>
      <c r="U16" s="209"/>
      <c r="V16" s="274"/>
      <c r="W16" s="237"/>
      <c r="X16" s="209"/>
      <c r="Y16" s="209"/>
      <c r="Z16" s="209"/>
      <c r="AA16" s="213"/>
    </row>
    <row r="17" spans="2:40" ht="15.75" thickBot="1" x14ac:dyDescent="0.3">
      <c r="B17" s="231" t="s">
        <v>9</v>
      </c>
      <c r="C17" s="57" t="s">
        <v>19</v>
      </c>
      <c r="D17" s="58">
        <v>2</v>
      </c>
      <c r="E17" s="59">
        <v>1</v>
      </c>
      <c r="F17" s="58" t="str">
        <f>C20</f>
        <v>Côte d'ivoire</v>
      </c>
      <c r="G17" s="60" t="str">
        <f t="shared" si="0"/>
        <v>Colombie</v>
      </c>
      <c r="H17" s="210"/>
      <c r="I17" s="10" t="s">
        <v>47</v>
      </c>
      <c r="J17" s="199" t="s">
        <v>49</v>
      </c>
      <c r="K17" s="198" t="s">
        <v>43</v>
      </c>
      <c r="L17" s="179" t="s">
        <v>44</v>
      </c>
      <c r="M17" s="179" t="s">
        <v>45</v>
      </c>
      <c r="N17" s="180" t="s">
        <v>46</v>
      </c>
      <c r="O17" s="209"/>
      <c r="P17" s="209"/>
      <c r="Q17" s="209"/>
      <c r="R17" s="209"/>
      <c r="S17" s="216"/>
      <c r="T17" s="216"/>
      <c r="U17" s="209"/>
      <c r="V17" s="274" t="str">
        <f>IF(T21&lt;&gt;T23,IF(T21&gt;T23,S21,S23),"")</f>
        <v>Allemagne</v>
      </c>
      <c r="W17" s="237">
        <v>7</v>
      </c>
      <c r="X17" s="209"/>
      <c r="Y17" s="209"/>
      <c r="Z17" s="209"/>
      <c r="AA17" s="213"/>
      <c r="AH17" s="292" t="s">
        <v>49</v>
      </c>
      <c r="AI17" s="294" t="s">
        <v>44</v>
      </c>
      <c r="AJ17" s="294" t="s">
        <v>45</v>
      </c>
      <c r="AK17" s="295" t="s">
        <v>46</v>
      </c>
      <c r="AL17" s="294" t="s">
        <v>43</v>
      </c>
      <c r="AM17" s="292" t="s">
        <v>48</v>
      </c>
      <c r="AN17" s="294" t="s">
        <v>49</v>
      </c>
    </row>
    <row r="18" spans="2:40" ht="15.75" thickBot="1" x14ac:dyDescent="0.3">
      <c r="B18" s="232"/>
      <c r="C18" s="53" t="str">
        <f>C17</f>
        <v>Colombie</v>
      </c>
      <c r="D18" s="54">
        <v>3</v>
      </c>
      <c r="E18" s="55">
        <v>0</v>
      </c>
      <c r="F18" s="54" t="str">
        <f>C22</f>
        <v>Grèce</v>
      </c>
      <c r="G18" s="56" t="str">
        <f t="shared" si="0"/>
        <v>Colombie</v>
      </c>
      <c r="H18" s="210"/>
      <c r="I18" s="185">
        <v>1</v>
      </c>
      <c r="J18" s="2" t="str">
        <f>VLOOKUP(MAX(AM18:AM21),AM18:AN21,2,FALSE)</f>
        <v>Colombie</v>
      </c>
      <c r="K18" s="3">
        <f>VLOOKUP(J18,AH18:AL21,5,FALSE)</f>
        <v>9</v>
      </c>
      <c r="L18" s="3">
        <f>VLOOKUP(J18,AH18:AI21,2,FALSE)</f>
        <v>9</v>
      </c>
      <c r="M18" s="3">
        <f>VLOOKUP(J18,AH18:AJ21,3,FALSE)</f>
        <v>2</v>
      </c>
      <c r="N18" s="186">
        <f>VLOOKUP(J18,AH18:AK21,4,FALSE)</f>
        <v>7</v>
      </c>
      <c r="O18" s="209"/>
      <c r="P18" s="269" t="str">
        <f>J30</f>
        <v>France</v>
      </c>
      <c r="Q18" s="241">
        <v>2</v>
      </c>
      <c r="R18" s="209"/>
      <c r="S18" s="216"/>
      <c r="T18" s="216"/>
      <c r="U18" s="209"/>
      <c r="V18" s="283"/>
      <c r="W18" s="238"/>
      <c r="X18" s="209"/>
      <c r="Y18" s="209"/>
      <c r="Z18" s="209"/>
      <c r="AA18" s="213"/>
      <c r="AH18" s="292" t="str">
        <f>C17</f>
        <v>Colombie</v>
      </c>
      <c r="AI18" s="294">
        <f>SUM(D17:D19)</f>
        <v>9</v>
      </c>
      <c r="AJ18" s="294">
        <f>SUM(E17:E19)</f>
        <v>2</v>
      </c>
      <c r="AK18" s="294">
        <f>SUM(AI18,-AJ18)</f>
        <v>7</v>
      </c>
      <c r="AL18" s="294">
        <f>COUNTIF(G17:G22,C17)*3+COUNTIF(G17:G19,"Égalité")</f>
        <v>9</v>
      </c>
      <c r="AM18" s="292">
        <f>SUM(AL18,AK18/100,AI18/10000)</f>
        <v>9.0709</v>
      </c>
      <c r="AN18" s="294" t="str">
        <f>C17</f>
        <v>Colombie</v>
      </c>
    </row>
    <row r="19" spans="2:40" x14ac:dyDescent="0.25">
      <c r="B19" s="232"/>
      <c r="C19" s="53" t="str">
        <f>C17</f>
        <v>Colombie</v>
      </c>
      <c r="D19" s="54">
        <v>4</v>
      </c>
      <c r="E19" s="55">
        <v>1</v>
      </c>
      <c r="F19" s="54" t="s">
        <v>22</v>
      </c>
      <c r="G19" s="56" t="str">
        <f t="shared" si="0"/>
        <v>Colombie</v>
      </c>
      <c r="H19" s="210"/>
      <c r="I19" s="138">
        <v>2</v>
      </c>
      <c r="J19" s="5" t="str">
        <f>VLOOKUP(LARGE(AM18:AM21,2),AM18:AN21,2,FALSE)</f>
        <v>Grèce</v>
      </c>
      <c r="K19" s="4">
        <f>VLOOKUP(J19,AH18:AL21,5,FALSE)</f>
        <v>4</v>
      </c>
      <c r="L19" s="4">
        <f>VLOOKUP(J19,AH18:AI21,2,FALSE)</f>
        <v>2</v>
      </c>
      <c r="M19" s="4">
        <f>VLOOKUP(J19,AH18:AJ21,3,FALSE)</f>
        <v>4</v>
      </c>
      <c r="N19" s="6">
        <f>VLOOKUP(J19,AH18:AK21,4,FALSE)</f>
        <v>-2</v>
      </c>
      <c r="O19" s="209"/>
      <c r="P19" s="270"/>
      <c r="Q19" s="237"/>
      <c r="R19" s="209"/>
      <c r="S19" s="209"/>
      <c r="T19" s="209"/>
      <c r="U19" s="209"/>
      <c r="V19" s="209"/>
      <c r="W19" s="209"/>
      <c r="X19" s="209"/>
      <c r="Y19" s="209"/>
      <c r="Z19" s="209"/>
      <c r="AA19" s="213"/>
      <c r="AH19" s="294" t="str">
        <f>C20</f>
        <v>Côte d'ivoire</v>
      </c>
      <c r="AI19" s="294">
        <f>SUM(D20,D21,E17)</f>
        <v>4</v>
      </c>
      <c r="AJ19" s="294">
        <f>SUM(D17,E20,E21)</f>
        <v>5</v>
      </c>
      <c r="AK19" s="294">
        <f t="shared" ref="AK19:AK21" si="5">SUM(AI19,-AJ19)</f>
        <v>-1</v>
      </c>
      <c r="AL19" s="294">
        <f>COUNTIF(G17:G22,C20)*3+COUNTIF(G17,"Égalité")+COUNTIF(G20:G21,"Égalité")</f>
        <v>3</v>
      </c>
      <c r="AM19" s="292">
        <f t="shared" ref="AM19:AM21" si="6">SUM(AL19,AK19/100,AI19/10000)</f>
        <v>2.9904000000000002</v>
      </c>
      <c r="AN19" s="294" t="str">
        <f>C20</f>
        <v>Côte d'ivoire</v>
      </c>
    </row>
    <row r="20" spans="2:40" ht="15.75" thickBot="1" x14ac:dyDescent="0.3">
      <c r="B20" s="232"/>
      <c r="C20" s="53" t="s">
        <v>20</v>
      </c>
      <c r="D20" s="54">
        <v>1</v>
      </c>
      <c r="E20" s="55">
        <v>2</v>
      </c>
      <c r="F20" s="54" t="str">
        <f>C22</f>
        <v>Grèce</v>
      </c>
      <c r="G20" s="56" t="str">
        <f t="shared" si="0"/>
        <v>Grèce</v>
      </c>
      <c r="H20" s="210"/>
      <c r="I20" s="56">
        <v>3</v>
      </c>
      <c r="J20" s="136" t="str">
        <f>VLOOKUP(LARGE(AM18:AM21,3),AM18:AN21,2,FALSE)</f>
        <v>Côte d'ivoire</v>
      </c>
      <c r="K20" s="54">
        <f>VLOOKUP(J20,AH18:AL21,5,FALSE)</f>
        <v>3</v>
      </c>
      <c r="L20" s="54">
        <f>VLOOKUP(J20,AH18:AI21,2,FALSE)</f>
        <v>4</v>
      </c>
      <c r="M20" s="54">
        <f>VLOOKUP(J20,AH18:AJ21,3,FALSE)</f>
        <v>5</v>
      </c>
      <c r="N20" s="137">
        <f>VLOOKUP(J20,AH18:AK21,4,FALSE)</f>
        <v>-1</v>
      </c>
      <c r="O20" s="209"/>
      <c r="P20" s="271" t="str">
        <f>J37</f>
        <v>Nigeria</v>
      </c>
      <c r="Q20" s="237">
        <v>0</v>
      </c>
      <c r="R20" s="209"/>
      <c r="S20" s="209"/>
      <c r="T20" s="209"/>
      <c r="U20" s="209"/>
      <c r="V20" s="209"/>
      <c r="W20" s="209"/>
      <c r="X20" s="209"/>
      <c r="Y20" s="209"/>
      <c r="Z20" s="209"/>
      <c r="AA20" s="213"/>
      <c r="AH20" s="294" t="str">
        <f>C22</f>
        <v>Grèce</v>
      </c>
      <c r="AI20" s="294">
        <f>SUM(D22,E18,E20)</f>
        <v>2</v>
      </c>
      <c r="AJ20" s="294">
        <f>SUM(D18,D20,E22)</f>
        <v>4</v>
      </c>
      <c r="AK20" s="294">
        <f t="shared" si="5"/>
        <v>-2</v>
      </c>
      <c r="AL20" s="294">
        <f>COUNTIF(G17:G22,C22)*3+COUNTIF(G18,"Égalité")+COUNTIF(G20,"Égalité")+COUNTIF(G22,"Égalité")</f>
        <v>4</v>
      </c>
      <c r="AM20" s="292">
        <f t="shared" si="6"/>
        <v>3.9802</v>
      </c>
      <c r="AN20" s="294" t="str">
        <f>C22</f>
        <v>Grèce</v>
      </c>
    </row>
    <row r="21" spans="2:40" ht="15.75" thickBot="1" x14ac:dyDescent="0.3">
      <c r="B21" s="232"/>
      <c r="C21" s="53" t="str">
        <f>C20</f>
        <v>Côte d'ivoire</v>
      </c>
      <c r="D21" s="54">
        <v>2</v>
      </c>
      <c r="E21" s="55">
        <v>1</v>
      </c>
      <c r="F21" s="54" t="str">
        <f>F19</f>
        <v>Japon</v>
      </c>
      <c r="G21" s="56" t="str">
        <f t="shared" si="0"/>
        <v>Côte d'ivoire</v>
      </c>
      <c r="H21" s="210"/>
      <c r="I21" s="64">
        <v>4</v>
      </c>
      <c r="J21" s="160" t="str">
        <f>VLOOKUP(LARGE(AM18:AM21,4),AM18:AN21,2,FALSE)</f>
        <v>Japon</v>
      </c>
      <c r="K21" s="161">
        <f>VLOOKUP(J21,AH18:AL21,5,FALSE)</f>
        <v>1</v>
      </c>
      <c r="L21" s="62">
        <f>VLOOKUP(J21,AH18:AI21,2,FALSE)</f>
        <v>2</v>
      </c>
      <c r="M21" s="62">
        <f>VLOOKUP(J21,AH18:AJ21,3,FALSE)</f>
        <v>6</v>
      </c>
      <c r="N21" s="162">
        <f>VLOOKUP(J21,AH18:AK21,4,FALSE)</f>
        <v>-4</v>
      </c>
      <c r="O21" s="209"/>
      <c r="P21" s="272"/>
      <c r="Q21" s="238"/>
      <c r="R21" s="209"/>
      <c r="S21" s="275" t="str">
        <f>IF(Q18&lt;&gt;Q20,IF(Q18&gt;Q20,P18,P20),"")</f>
        <v>France</v>
      </c>
      <c r="T21" s="277">
        <v>0</v>
      </c>
      <c r="U21" s="209"/>
      <c r="V21" s="209"/>
      <c r="W21" s="209"/>
      <c r="X21" s="209"/>
      <c r="Y21" s="209"/>
      <c r="Z21" s="209"/>
      <c r="AA21" s="213"/>
      <c r="AH21" s="294" t="str">
        <f>F19</f>
        <v>Japon</v>
      </c>
      <c r="AI21" s="294">
        <f>SUM(E19,E21,E22)</f>
        <v>2</v>
      </c>
      <c r="AJ21" s="294">
        <f>SUM(D19,D21,D22)</f>
        <v>6</v>
      </c>
      <c r="AK21" s="294">
        <f t="shared" si="5"/>
        <v>-4</v>
      </c>
      <c r="AL21" s="295">
        <f>COUNTIF(G17:G22,F19)*3+COUNTIF(G19,"Égalité")+COUNTIF(G21:G22,"Égalité")</f>
        <v>1</v>
      </c>
      <c r="AM21" s="292">
        <f t="shared" si="6"/>
        <v>0.96019999999999994</v>
      </c>
      <c r="AN21" s="294" t="str">
        <f>F19</f>
        <v>Japon</v>
      </c>
    </row>
    <row r="22" spans="2:40" ht="15.75" thickBot="1" x14ac:dyDescent="0.3">
      <c r="B22" s="233"/>
      <c r="C22" s="61" t="s">
        <v>21</v>
      </c>
      <c r="D22" s="62">
        <v>0</v>
      </c>
      <c r="E22" s="63">
        <v>0</v>
      </c>
      <c r="F22" s="62" t="str">
        <f>F19</f>
        <v>Japon</v>
      </c>
      <c r="G22" s="64" t="str">
        <f t="shared" si="0"/>
        <v>Égalité</v>
      </c>
      <c r="H22" s="210"/>
      <c r="I22" s="209"/>
      <c r="J22" s="209"/>
      <c r="K22" s="209"/>
      <c r="L22" s="209"/>
      <c r="M22" s="209"/>
      <c r="N22" s="209"/>
      <c r="O22" s="209"/>
      <c r="P22" s="209"/>
      <c r="Q22" s="209"/>
      <c r="R22" s="209"/>
      <c r="S22" s="276"/>
      <c r="T22" s="278"/>
      <c r="U22" s="209"/>
      <c r="V22" s="209"/>
      <c r="W22" s="209"/>
      <c r="X22" s="209"/>
      <c r="Y22" s="209"/>
      <c r="Z22" s="209"/>
      <c r="AA22" s="213"/>
    </row>
    <row r="23" spans="2:40" ht="15.75" thickBot="1" x14ac:dyDescent="0.3">
      <c r="B23" s="253" t="s">
        <v>10</v>
      </c>
      <c r="C23" s="45" t="s">
        <v>23</v>
      </c>
      <c r="D23" s="46">
        <v>0</v>
      </c>
      <c r="E23" s="47">
        <v>0</v>
      </c>
      <c r="F23" s="46" t="str">
        <f>C26</f>
        <v>Costa Rica</v>
      </c>
      <c r="G23" s="48" t="str">
        <f t="shared" si="0"/>
        <v>Égalité</v>
      </c>
      <c r="H23" s="210"/>
      <c r="I23" s="10" t="s">
        <v>47</v>
      </c>
      <c r="J23" s="199" t="s">
        <v>49</v>
      </c>
      <c r="K23" s="198" t="s">
        <v>43</v>
      </c>
      <c r="L23" s="179" t="s">
        <v>44</v>
      </c>
      <c r="M23" s="179" t="s">
        <v>45</v>
      </c>
      <c r="N23" s="180" t="s">
        <v>46</v>
      </c>
      <c r="O23" s="209"/>
      <c r="P23" s="209"/>
      <c r="Q23" s="209"/>
      <c r="R23" s="209"/>
      <c r="S23" s="279" t="str">
        <f>IF(Q24&lt;&gt;Q26,IF(Q24&gt;Q26,P24,P26),"")</f>
        <v>Allemagne</v>
      </c>
      <c r="T23" s="281">
        <v>1</v>
      </c>
      <c r="U23" s="209"/>
      <c r="V23" s="209"/>
      <c r="W23" s="209"/>
      <c r="X23" s="209"/>
      <c r="Y23" s="209"/>
      <c r="Z23" s="209"/>
      <c r="AA23" s="213"/>
      <c r="AH23" s="292" t="s">
        <v>49</v>
      </c>
      <c r="AI23" s="294" t="s">
        <v>44</v>
      </c>
      <c r="AJ23" s="294" t="s">
        <v>45</v>
      </c>
      <c r="AK23" s="295" t="s">
        <v>46</v>
      </c>
      <c r="AL23" s="294" t="s">
        <v>43</v>
      </c>
      <c r="AM23" s="292" t="s">
        <v>48</v>
      </c>
      <c r="AN23" s="294" t="s">
        <v>49</v>
      </c>
    </row>
    <row r="24" spans="2:40" ht="15.75" thickBot="1" x14ac:dyDescent="0.3">
      <c r="B24" s="254"/>
      <c r="C24" s="39" t="str">
        <f>C23</f>
        <v>Angleterre</v>
      </c>
      <c r="D24" s="40">
        <v>1</v>
      </c>
      <c r="E24" s="41">
        <v>2</v>
      </c>
      <c r="F24" s="40" t="str">
        <f>C28</f>
        <v>Italie</v>
      </c>
      <c r="G24" s="42" t="str">
        <f t="shared" si="0"/>
        <v>Italie</v>
      </c>
      <c r="H24" s="210"/>
      <c r="I24" s="201">
        <v>1</v>
      </c>
      <c r="J24" s="202" t="str">
        <f>VLOOKUP(MAX(AM24:AM27),AM24:AN27,2,FALSE)</f>
        <v>Costa Rica</v>
      </c>
      <c r="K24" s="203">
        <f>VLOOKUP(J24,AH24:AL27,5,FALSE)</f>
        <v>7</v>
      </c>
      <c r="L24" s="203">
        <f>VLOOKUP(J24,AH24:AI27,2,FALSE)</f>
        <v>4</v>
      </c>
      <c r="M24" s="203">
        <f>VLOOKUP(J24,AH24:AJ27,3,FALSE)</f>
        <v>1</v>
      </c>
      <c r="N24" s="204">
        <f>VLOOKUP(J24,AH24:AK27,4,FALSE)</f>
        <v>3</v>
      </c>
      <c r="O24" s="209"/>
      <c r="P24" s="265" t="str">
        <f>J42</f>
        <v>Allemagne</v>
      </c>
      <c r="Q24" s="241">
        <v>2</v>
      </c>
      <c r="R24" s="209"/>
      <c r="S24" s="280"/>
      <c r="T24" s="282"/>
      <c r="U24" s="209"/>
      <c r="V24" s="209"/>
      <c r="W24" s="209"/>
      <c r="X24" s="209"/>
      <c r="Y24" s="209"/>
      <c r="Z24" s="209"/>
      <c r="AA24" s="213"/>
      <c r="AH24" s="292" t="str">
        <f>C23</f>
        <v>Angleterre</v>
      </c>
      <c r="AI24" s="294">
        <f>SUM(D23:D25)</f>
        <v>2</v>
      </c>
      <c r="AJ24" s="294">
        <f>SUM(E23:E25)</f>
        <v>4</v>
      </c>
      <c r="AK24" s="294">
        <f>SUM(AI24,-AJ24)</f>
        <v>-2</v>
      </c>
      <c r="AL24" s="294">
        <f>COUNTIF(G23:G28,C23)*3+COUNTIF(G23:G25,"Égalité")</f>
        <v>1</v>
      </c>
      <c r="AM24" s="292">
        <f>SUM(AL24,AK24/100,AI24/10000)</f>
        <v>0.98019999999999996</v>
      </c>
      <c r="AN24" s="294" t="str">
        <f>C23</f>
        <v>Angleterre</v>
      </c>
    </row>
    <row r="25" spans="2:40" x14ac:dyDescent="0.25">
      <c r="B25" s="254"/>
      <c r="C25" s="39" t="str">
        <f>C23</f>
        <v>Angleterre</v>
      </c>
      <c r="D25" s="40">
        <v>1</v>
      </c>
      <c r="E25" s="41">
        <v>2</v>
      </c>
      <c r="F25" s="40" t="s">
        <v>50</v>
      </c>
      <c r="G25" s="42" t="str">
        <f t="shared" si="0"/>
        <v>Uruguay</v>
      </c>
      <c r="H25" s="210"/>
      <c r="I25" s="205">
        <v>2</v>
      </c>
      <c r="J25" s="206" t="str">
        <f>VLOOKUP(LARGE(AM24:AM27,2),AM24:AN27,2,FALSE)</f>
        <v>Uruguay</v>
      </c>
      <c r="K25" s="207">
        <f>VLOOKUP(J25,AH24:AL27,5,FALSE)</f>
        <v>6</v>
      </c>
      <c r="L25" s="207">
        <f>VLOOKUP(J25,AH24:AI27,2,FALSE)</f>
        <v>4</v>
      </c>
      <c r="M25" s="207">
        <f>VLOOKUP(J25,AH24:AJ27,3,FALSE)</f>
        <v>4</v>
      </c>
      <c r="N25" s="208">
        <f>VLOOKUP(J25,AH24:AK27,4,FALSE)</f>
        <v>0</v>
      </c>
      <c r="O25" s="209"/>
      <c r="P25" s="266"/>
      <c r="Q25" s="237"/>
      <c r="R25" s="209"/>
      <c r="S25" s="209"/>
      <c r="T25" s="209"/>
      <c r="U25" s="209"/>
      <c r="V25" s="209"/>
      <c r="W25" s="209"/>
      <c r="X25" s="209"/>
      <c r="Y25" s="209"/>
      <c r="Z25" s="209"/>
      <c r="AA25" s="213"/>
      <c r="AH25" s="294" t="str">
        <f>C26</f>
        <v>Costa Rica</v>
      </c>
      <c r="AI25" s="294">
        <f>SUM(D26,D27,E23)</f>
        <v>4</v>
      </c>
      <c r="AJ25" s="294">
        <f>SUM(D23,E26,E27)</f>
        <v>1</v>
      </c>
      <c r="AK25" s="294">
        <f t="shared" ref="AK25:AK27" si="7">SUM(AI25,-AJ25)</f>
        <v>3</v>
      </c>
      <c r="AL25" s="294">
        <f>COUNTIF(G23:G28,C26)*3+COUNTIF(G23,"Égalité")+COUNTIF(G26:G27,"Égalité")</f>
        <v>7</v>
      </c>
      <c r="AM25" s="292">
        <f t="shared" ref="AM25:AM27" si="8">SUM(AL25,AK25/100,AI25/10000)</f>
        <v>7.0304000000000002</v>
      </c>
      <c r="AN25" s="294" t="str">
        <f>C26</f>
        <v>Costa Rica</v>
      </c>
    </row>
    <row r="26" spans="2:40" ht="15.75" thickBot="1" x14ac:dyDescent="0.3">
      <c r="B26" s="254"/>
      <c r="C26" s="39" t="s">
        <v>24</v>
      </c>
      <c r="D26" s="40">
        <v>1</v>
      </c>
      <c r="E26" s="41">
        <v>0</v>
      </c>
      <c r="F26" s="40" t="str">
        <f>C28</f>
        <v>Italie</v>
      </c>
      <c r="G26" s="42" t="str">
        <f t="shared" si="0"/>
        <v>Costa Rica</v>
      </c>
      <c r="H26" s="210"/>
      <c r="I26" s="42">
        <v>3</v>
      </c>
      <c r="J26" s="139" t="str">
        <f>VLOOKUP(LARGE(AM24:AM27,3),AM24:AN27,2,FALSE)</f>
        <v>Italie</v>
      </c>
      <c r="K26" s="40">
        <f>VLOOKUP(J26,AH24:AL27,5,FALSE)</f>
        <v>3</v>
      </c>
      <c r="L26" s="40">
        <f>VLOOKUP(J26,AH24:AI27,2,FALSE)</f>
        <v>2</v>
      </c>
      <c r="M26" s="40">
        <f>VLOOKUP(J26,AH24:AJ27,3,FALSE)</f>
        <v>3</v>
      </c>
      <c r="N26" s="140">
        <f>VLOOKUP(J26,AH24:AK27,4,FALSE)</f>
        <v>-1</v>
      </c>
      <c r="O26" s="209"/>
      <c r="P26" s="267" t="str">
        <f>J49</f>
        <v>Algérie</v>
      </c>
      <c r="Q26" s="237">
        <v>1</v>
      </c>
      <c r="R26" s="209"/>
      <c r="S26" s="209"/>
      <c r="T26" s="209"/>
      <c r="U26" s="209"/>
      <c r="V26" s="209"/>
      <c r="W26" s="209"/>
      <c r="X26" s="209"/>
      <c r="Y26" s="209"/>
      <c r="Z26" s="209"/>
      <c r="AA26" s="213"/>
      <c r="AH26" s="294" t="str">
        <f>C28</f>
        <v>Italie</v>
      </c>
      <c r="AI26" s="294">
        <f>SUM(D28,E24,E26)</f>
        <v>2</v>
      </c>
      <c r="AJ26" s="294">
        <f>SUM(D24,D26,E28)</f>
        <v>3</v>
      </c>
      <c r="AK26" s="294">
        <f t="shared" si="7"/>
        <v>-1</v>
      </c>
      <c r="AL26" s="294">
        <f>COUNTIF(G23:G28,C28)*3+COUNTIF(G24,"Égalité")+COUNTIF(G26,"Égalité")+COUNTIF(G28,"Égalité")</f>
        <v>3</v>
      </c>
      <c r="AM26" s="292">
        <f t="shared" si="8"/>
        <v>2.9902000000000002</v>
      </c>
      <c r="AN26" s="294" t="str">
        <f>C28</f>
        <v>Italie</v>
      </c>
    </row>
    <row r="27" spans="2:40" ht="15.75" thickBot="1" x14ac:dyDescent="0.3">
      <c r="B27" s="254"/>
      <c r="C27" s="39" t="str">
        <f>C26</f>
        <v>Costa Rica</v>
      </c>
      <c r="D27" s="40">
        <v>3</v>
      </c>
      <c r="E27" s="41">
        <v>1</v>
      </c>
      <c r="F27" s="40" t="str">
        <f>F25</f>
        <v>Uruguay</v>
      </c>
      <c r="G27" s="42" t="str">
        <f t="shared" si="0"/>
        <v>Costa Rica</v>
      </c>
      <c r="H27" s="210"/>
      <c r="I27" s="44">
        <v>4</v>
      </c>
      <c r="J27" s="163" t="str">
        <f>VLOOKUP(LARGE(AM24:AM27,4),AM24:AN27,2,FALSE)</f>
        <v>Angleterre</v>
      </c>
      <c r="K27" s="164">
        <f>VLOOKUP(J27,AH24:AL27,5,FALSE)</f>
        <v>1</v>
      </c>
      <c r="L27" s="43">
        <f>VLOOKUP(J27,AH24:AI27,2,FALSE)</f>
        <v>2</v>
      </c>
      <c r="M27" s="43">
        <f>VLOOKUP(J27,AH24:AJ27,3,FALSE)</f>
        <v>4</v>
      </c>
      <c r="N27" s="165">
        <f>VLOOKUP(J27,AH24:AK27,4,FALSE)</f>
        <v>-2</v>
      </c>
      <c r="O27" s="209"/>
      <c r="P27" s="268"/>
      <c r="Q27" s="238"/>
      <c r="R27" s="209"/>
      <c r="S27" s="216"/>
      <c r="T27" s="216"/>
      <c r="U27" s="209"/>
      <c r="V27" s="209"/>
      <c r="W27" s="209"/>
      <c r="X27" s="209"/>
      <c r="Y27" s="275" t="str">
        <f>IF(W15&lt;&gt;W17,IF(W15&gt;W17,V15,V17),"")</f>
        <v>Allemagne</v>
      </c>
      <c r="Z27" s="277">
        <v>1</v>
      </c>
      <c r="AA27" s="213"/>
      <c r="AB27" s="7"/>
      <c r="AC27" s="7"/>
      <c r="AD27" s="7"/>
      <c r="AE27" s="7"/>
      <c r="AH27" s="294" t="str">
        <f>F25</f>
        <v>Uruguay</v>
      </c>
      <c r="AI27" s="294">
        <f>SUM(E25,E27,E28)</f>
        <v>4</v>
      </c>
      <c r="AJ27" s="294">
        <f>SUM(D25,D27,D28)</f>
        <v>4</v>
      </c>
      <c r="AK27" s="294">
        <f t="shared" si="7"/>
        <v>0</v>
      </c>
      <c r="AL27" s="295">
        <f>COUNTIF(G23:G28,F25)*3+COUNTIF(G25,"Égalité")+COUNTIF(G27:G28,"Égalité")</f>
        <v>6</v>
      </c>
      <c r="AM27" s="292">
        <f t="shared" si="8"/>
        <v>6.0004</v>
      </c>
      <c r="AN27" s="294" t="str">
        <f>F25</f>
        <v>Uruguay</v>
      </c>
    </row>
    <row r="28" spans="2:40" ht="15.75" thickBot="1" x14ac:dyDescent="0.3">
      <c r="B28" s="255"/>
      <c r="C28" s="49" t="s">
        <v>25</v>
      </c>
      <c r="D28" s="50">
        <v>0</v>
      </c>
      <c r="E28" s="51">
        <v>1</v>
      </c>
      <c r="F28" s="50" t="str">
        <f>F25</f>
        <v>Uruguay</v>
      </c>
      <c r="G28" s="52" t="str">
        <f t="shared" si="0"/>
        <v>Uruguay</v>
      </c>
      <c r="H28" s="210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16"/>
      <c r="T28" s="216"/>
      <c r="U28" s="209"/>
      <c r="V28" s="209"/>
      <c r="W28" s="209"/>
      <c r="X28" s="209"/>
      <c r="Y28" s="276"/>
      <c r="Z28" s="278"/>
      <c r="AA28" s="213"/>
      <c r="AB28" s="7"/>
      <c r="AC28" s="7"/>
      <c r="AD28" s="7"/>
      <c r="AE28" s="7"/>
    </row>
    <row r="29" spans="2:40" ht="15.75" thickBot="1" x14ac:dyDescent="0.3">
      <c r="B29" s="256" t="s">
        <v>11</v>
      </c>
      <c r="C29" s="65" t="s">
        <v>26</v>
      </c>
      <c r="D29" s="66">
        <v>0</v>
      </c>
      <c r="E29" s="67">
        <v>0</v>
      </c>
      <c r="F29" s="66" t="str">
        <f>C32</f>
        <v>France</v>
      </c>
      <c r="G29" s="68" t="str">
        <f t="shared" si="0"/>
        <v>Égalité</v>
      </c>
      <c r="H29" s="210"/>
      <c r="I29" s="10" t="s">
        <v>47</v>
      </c>
      <c r="J29" s="199" t="s">
        <v>49</v>
      </c>
      <c r="K29" s="198" t="s">
        <v>43</v>
      </c>
      <c r="L29" s="179" t="s">
        <v>44</v>
      </c>
      <c r="M29" s="179" t="s">
        <v>45</v>
      </c>
      <c r="N29" s="180" t="s">
        <v>46</v>
      </c>
      <c r="O29" s="209"/>
      <c r="P29" s="209"/>
      <c r="Q29" s="209"/>
      <c r="R29" s="209"/>
      <c r="S29" s="216"/>
      <c r="T29" s="216"/>
      <c r="U29" s="209"/>
      <c r="V29" s="209"/>
      <c r="W29" s="209"/>
      <c r="X29" s="209"/>
      <c r="Y29" s="274" t="str">
        <f>IF(W39&lt;&gt;W41,IF(W39&gt;W41,V39,V41),"")</f>
        <v>Argentine</v>
      </c>
      <c r="Z29" s="281">
        <v>0</v>
      </c>
      <c r="AA29" s="213"/>
      <c r="AB29" s="7"/>
      <c r="AC29" s="7"/>
      <c r="AD29" s="7"/>
      <c r="AE29" s="7"/>
      <c r="AH29" s="292" t="s">
        <v>49</v>
      </c>
      <c r="AI29" s="294" t="s">
        <v>44</v>
      </c>
      <c r="AJ29" s="294" t="s">
        <v>45</v>
      </c>
      <c r="AK29" s="295" t="s">
        <v>46</v>
      </c>
      <c r="AL29" s="294" t="s">
        <v>43</v>
      </c>
      <c r="AM29" s="292" t="s">
        <v>48</v>
      </c>
      <c r="AN29" s="294" t="s">
        <v>49</v>
      </c>
    </row>
    <row r="30" spans="2:40" ht="15.75" thickBot="1" x14ac:dyDescent="0.3">
      <c r="B30" s="257"/>
      <c r="C30" s="69" t="str">
        <f>C29</f>
        <v>Équateur</v>
      </c>
      <c r="D30" s="70">
        <v>2</v>
      </c>
      <c r="E30" s="71">
        <v>1</v>
      </c>
      <c r="F30" s="70" t="str">
        <f>C34</f>
        <v>Honduras</v>
      </c>
      <c r="G30" s="72" t="str">
        <f t="shared" si="0"/>
        <v>Équateur</v>
      </c>
      <c r="H30" s="210"/>
      <c r="I30" s="187">
        <v>1</v>
      </c>
      <c r="J30" s="188" t="str">
        <f>VLOOKUP(MAX(AM30:AM33),AM30:AN33,2,FALSE)</f>
        <v>France</v>
      </c>
      <c r="K30" s="11">
        <f>VLOOKUP(J30,AH30:AL33,5,FALSE)</f>
        <v>7</v>
      </c>
      <c r="L30" s="11">
        <f>VLOOKUP(J30,AH30:AI33,2,FALSE)</f>
        <v>8</v>
      </c>
      <c r="M30" s="11">
        <f>VLOOKUP(J30,AH30:AJ33,3,FALSE)</f>
        <v>2</v>
      </c>
      <c r="N30" s="189">
        <f>VLOOKUP(J30,AH30:AK33,4,FALSE)</f>
        <v>6</v>
      </c>
      <c r="O30" s="209"/>
      <c r="P30" s="239" t="str">
        <f>J7</f>
        <v>Mexique</v>
      </c>
      <c r="Q30" s="241">
        <v>1</v>
      </c>
      <c r="R30" s="209"/>
      <c r="S30" s="216"/>
      <c r="T30" s="216"/>
      <c r="U30" s="209"/>
      <c r="V30" s="209"/>
      <c r="W30" s="209"/>
      <c r="X30" s="209"/>
      <c r="Y30" s="283"/>
      <c r="Z30" s="282"/>
      <c r="AA30" s="213"/>
      <c r="AB30" s="7"/>
      <c r="AC30" s="7"/>
      <c r="AD30" s="7"/>
      <c r="AE30" s="7"/>
      <c r="AH30" s="292" t="str">
        <f>C29</f>
        <v>Équateur</v>
      </c>
      <c r="AI30" s="294">
        <f>SUM(D29:D31)</f>
        <v>3</v>
      </c>
      <c r="AJ30" s="294">
        <f>SUM(E29:E31)</f>
        <v>3</v>
      </c>
      <c r="AK30" s="294">
        <f>SUM(AI30,-AJ30)</f>
        <v>0</v>
      </c>
      <c r="AL30" s="294">
        <f>COUNTIF(G29:G34,C29)*3+COUNTIF(G29:G31,"Égalité")</f>
        <v>4</v>
      </c>
      <c r="AM30" s="292">
        <f>SUM(AL30,AK30/100,AI30/10000)</f>
        <v>4.0003000000000002</v>
      </c>
      <c r="AN30" s="294" t="str">
        <f>C29</f>
        <v>Équateur</v>
      </c>
    </row>
    <row r="31" spans="2:40" x14ac:dyDescent="0.25">
      <c r="B31" s="257"/>
      <c r="C31" s="69" t="str">
        <f>C29</f>
        <v>Équateur</v>
      </c>
      <c r="D31" s="70">
        <v>1</v>
      </c>
      <c r="E31" s="71">
        <v>2</v>
      </c>
      <c r="F31" s="70" t="s">
        <v>29</v>
      </c>
      <c r="G31" s="72" t="str">
        <f t="shared" si="0"/>
        <v>Suisse</v>
      </c>
      <c r="H31" s="210"/>
      <c r="I31" s="135">
        <v>2</v>
      </c>
      <c r="J31" s="131" t="str">
        <f>VLOOKUP(LARGE(AM30:AM33,2),AM30:AN33,2,FALSE)</f>
        <v>Suisse</v>
      </c>
      <c r="K31" s="12">
        <f>VLOOKUP(J31,AH30:AL33,5,FALSE)</f>
        <v>6</v>
      </c>
      <c r="L31" s="12">
        <f>VLOOKUP(J31,AH30:AI33,2,FALSE)</f>
        <v>7</v>
      </c>
      <c r="M31" s="12">
        <f>VLOOKUP(J31,AH30:AJ33,3,FALSE)</f>
        <v>6</v>
      </c>
      <c r="N31" s="132">
        <f>VLOOKUP(J31,AH30:AK33,4,FALSE)</f>
        <v>1</v>
      </c>
      <c r="O31" s="209"/>
      <c r="P31" s="240"/>
      <c r="Q31" s="237"/>
      <c r="R31" s="209"/>
      <c r="S31" s="209"/>
      <c r="T31" s="209"/>
      <c r="U31" s="209"/>
      <c r="V31" s="209"/>
      <c r="W31" s="209"/>
      <c r="X31" s="209"/>
      <c r="Y31" s="209"/>
      <c r="Z31" s="209"/>
      <c r="AA31" s="213"/>
      <c r="AH31" s="294" t="str">
        <f>C32</f>
        <v>France</v>
      </c>
      <c r="AI31" s="294">
        <f>SUM(D32,D33,E29)</f>
        <v>8</v>
      </c>
      <c r="AJ31" s="294">
        <f>SUM(D29,E32,E33)</f>
        <v>2</v>
      </c>
      <c r="AK31" s="294">
        <f t="shared" ref="AK31:AK33" si="9">SUM(AI31,-AJ31)</f>
        <v>6</v>
      </c>
      <c r="AL31" s="294">
        <f>COUNTIF(G29:G34,C32)*3+COUNTIF(G29,"Égalité")+COUNTIF(G32:G33,"Égalité")</f>
        <v>7</v>
      </c>
      <c r="AM31" s="292">
        <f t="shared" ref="AM31:AM33" si="10">SUM(AL31,AK31/100,AI31/10000)</f>
        <v>7.0607999999999995</v>
      </c>
      <c r="AN31" s="294" t="str">
        <f>C32</f>
        <v>France</v>
      </c>
    </row>
    <row r="32" spans="2:40" ht="15.75" thickBot="1" x14ac:dyDescent="0.3">
      <c r="B32" s="257"/>
      <c r="C32" s="69" t="s">
        <v>27</v>
      </c>
      <c r="D32" s="70">
        <v>3</v>
      </c>
      <c r="E32" s="71">
        <v>0</v>
      </c>
      <c r="F32" s="70" t="str">
        <f>C34</f>
        <v>Honduras</v>
      </c>
      <c r="G32" s="72" t="str">
        <f t="shared" si="0"/>
        <v>France</v>
      </c>
      <c r="H32" s="210"/>
      <c r="I32" s="122">
        <v>3</v>
      </c>
      <c r="J32" s="123" t="str">
        <f>VLOOKUP(LARGE(AM30:AM33,3),AM30:AN33,2,FALSE)</f>
        <v>Équateur</v>
      </c>
      <c r="K32" s="70">
        <f>VLOOKUP(J32,AH30:AL33,5,FALSE)</f>
        <v>4</v>
      </c>
      <c r="L32" s="70">
        <f>VLOOKUP(J32,AH30:AI33,2,FALSE)</f>
        <v>3</v>
      </c>
      <c r="M32" s="70">
        <f>VLOOKUP(J32,AH30:AJ33,3,FALSE)</f>
        <v>3</v>
      </c>
      <c r="N32" s="124">
        <f>VLOOKUP(J32,AH30:AK33,4,FALSE)</f>
        <v>0</v>
      </c>
      <c r="O32" s="209"/>
      <c r="P32" s="263" t="str">
        <f>J12</f>
        <v>Pays-Bas</v>
      </c>
      <c r="Q32" s="237">
        <v>2</v>
      </c>
      <c r="R32" s="209"/>
      <c r="S32" s="209"/>
      <c r="T32" s="209"/>
      <c r="U32" s="209"/>
      <c r="V32" s="209"/>
      <c r="W32" s="209"/>
      <c r="X32" s="209"/>
      <c r="Y32" s="209"/>
      <c r="Z32" s="209"/>
      <c r="AA32" s="213"/>
      <c r="AH32" s="294" t="str">
        <f>C34</f>
        <v>Honduras</v>
      </c>
      <c r="AI32" s="294">
        <f>SUM(D34,E30,E32)</f>
        <v>1</v>
      </c>
      <c r="AJ32" s="294">
        <f>SUM(D30,D32,E34)</f>
        <v>8</v>
      </c>
      <c r="AK32" s="294">
        <f t="shared" si="9"/>
        <v>-7</v>
      </c>
      <c r="AL32" s="294">
        <f>COUNTIF(G29:G34,C34)*3+COUNTIF(G30,"Égalité")+COUNTIF(G32,"Égalité")+COUNTIF(G34,"Égalité")</f>
        <v>0</v>
      </c>
      <c r="AM32" s="292">
        <f t="shared" si="10"/>
        <v>-6.9900000000000004E-2</v>
      </c>
      <c r="AN32" s="294" t="str">
        <f>C34</f>
        <v>Honduras</v>
      </c>
    </row>
    <row r="33" spans="2:40" ht="15.75" thickBot="1" x14ac:dyDescent="0.3">
      <c r="B33" s="257"/>
      <c r="C33" s="69" t="str">
        <f>C32</f>
        <v>France</v>
      </c>
      <c r="D33" s="70">
        <v>5</v>
      </c>
      <c r="E33" s="71">
        <v>2</v>
      </c>
      <c r="F33" s="70" t="str">
        <f>F31</f>
        <v>Suisse</v>
      </c>
      <c r="G33" s="72" t="str">
        <f t="shared" si="0"/>
        <v>France</v>
      </c>
      <c r="H33" s="210"/>
      <c r="I33" s="166">
        <v>4</v>
      </c>
      <c r="J33" s="167" t="str">
        <f>VLOOKUP(LARGE(AM30:AM33,4),AM30:AN33,2,FALSE)</f>
        <v>Honduras</v>
      </c>
      <c r="K33" s="168">
        <f>VLOOKUP(J33,AH30:AL33,5,FALSE)</f>
        <v>0</v>
      </c>
      <c r="L33" s="74">
        <f>VLOOKUP(J33,AH30:AI33,2,FALSE)</f>
        <v>1</v>
      </c>
      <c r="M33" s="74">
        <f>VLOOKUP(J33,AH30:AJ33,3,FALSE)</f>
        <v>8</v>
      </c>
      <c r="N33" s="103">
        <f>VLOOKUP(J33,AH30:AK33,4,FALSE)</f>
        <v>-7</v>
      </c>
      <c r="O33" s="209"/>
      <c r="P33" s="264"/>
      <c r="Q33" s="238"/>
      <c r="R33" s="209"/>
      <c r="S33" s="273" t="str">
        <f>IF(Q30&lt;&gt;Q32,IF(Q30&gt;Q32,P30,P32),"")</f>
        <v>Pays-Bas</v>
      </c>
      <c r="T33" s="241" t="s">
        <v>59</v>
      </c>
      <c r="U33" s="209"/>
      <c r="V33" s="209"/>
      <c r="W33" s="209"/>
      <c r="X33" s="209"/>
      <c r="Y33" s="209"/>
      <c r="Z33" s="209"/>
      <c r="AA33" s="213"/>
      <c r="AH33" s="294" t="str">
        <f>F31</f>
        <v>Suisse</v>
      </c>
      <c r="AI33" s="294">
        <f>SUM(E31,E33,E34)</f>
        <v>7</v>
      </c>
      <c r="AJ33" s="294">
        <f>SUM(D31,D33,D34)</f>
        <v>6</v>
      </c>
      <c r="AK33" s="294">
        <f t="shared" si="9"/>
        <v>1</v>
      </c>
      <c r="AL33" s="295">
        <f>COUNTIF(G29:G34,F31)*3+COUNTIF(G31,"Égalité")+COUNTIF(G33:G34,"Égalité")</f>
        <v>6</v>
      </c>
      <c r="AM33" s="292">
        <f t="shared" si="10"/>
        <v>6.0106999999999999</v>
      </c>
      <c r="AN33" s="294" t="str">
        <f>F31</f>
        <v>Suisse</v>
      </c>
    </row>
    <row r="34" spans="2:40" ht="15.75" thickBot="1" x14ac:dyDescent="0.3">
      <c r="B34" s="258"/>
      <c r="C34" s="73" t="s">
        <v>28</v>
      </c>
      <c r="D34" s="74">
        <v>0</v>
      </c>
      <c r="E34" s="75">
        <v>3</v>
      </c>
      <c r="F34" s="74" t="str">
        <f>F31</f>
        <v>Suisse</v>
      </c>
      <c r="G34" s="76" t="str">
        <f t="shared" si="0"/>
        <v>Suisse</v>
      </c>
      <c r="H34" s="210"/>
      <c r="I34" s="209"/>
      <c r="J34" s="209"/>
      <c r="K34" s="209"/>
      <c r="L34" s="209"/>
      <c r="M34" s="209"/>
      <c r="N34" s="209"/>
      <c r="O34" s="209"/>
      <c r="P34" s="209"/>
      <c r="Q34" s="209"/>
      <c r="R34" s="209"/>
      <c r="S34" s="274"/>
      <c r="T34" s="237"/>
      <c r="U34" s="209"/>
      <c r="V34" s="209"/>
      <c r="W34" s="209"/>
      <c r="X34" s="209"/>
      <c r="Y34" s="209"/>
      <c r="Z34" s="209"/>
      <c r="AA34" s="213"/>
    </row>
    <row r="35" spans="2:40" ht="15.75" thickBot="1" x14ac:dyDescent="0.3">
      <c r="B35" s="242" t="s">
        <v>12</v>
      </c>
      <c r="C35" s="77" t="s">
        <v>30</v>
      </c>
      <c r="D35" s="78">
        <v>2</v>
      </c>
      <c r="E35" s="79">
        <v>1</v>
      </c>
      <c r="F35" s="78" t="str">
        <f>C38</f>
        <v>Bosnie</v>
      </c>
      <c r="G35" s="80" t="str">
        <f t="shared" si="0"/>
        <v>Argentine</v>
      </c>
      <c r="H35" s="210"/>
      <c r="I35" s="10" t="s">
        <v>47</v>
      </c>
      <c r="J35" s="199" t="s">
        <v>49</v>
      </c>
      <c r="K35" s="198" t="s">
        <v>43</v>
      </c>
      <c r="L35" s="179" t="s">
        <v>44</v>
      </c>
      <c r="M35" s="179" t="s">
        <v>45</v>
      </c>
      <c r="N35" s="180" t="s">
        <v>46</v>
      </c>
      <c r="O35" s="209"/>
      <c r="P35" s="209"/>
      <c r="Q35" s="209"/>
      <c r="R35" s="209"/>
      <c r="S35" s="274" t="str">
        <f>IF(Q36&lt;&gt;Q38,IF(Q36&gt;Q38,P36,P38),"")</f>
        <v>Costa Rica</v>
      </c>
      <c r="T35" s="281" t="s">
        <v>60</v>
      </c>
      <c r="U35" s="209"/>
      <c r="V35" s="209"/>
      <c r="W35" s="209"/>
      <c r="X35" s="209"/>
      <c r="Y35" s="217"/>
      <c r="Z35" s="217"/>
      <c r="AA35" s="213"/>
      <c r="AH35" s="292" t="s">
        <v>49</v>
      </c>
      <c r="AI35" s="294" t="s">
        <v>44</v>
      </c>
      <c r="AJ35" s="294" t="s">
        <v>45</v>
      </c>
      <c r="AK35" s="295" t="s">
        <v>46</v>
      </c>
      <c r="AL35" s="294" t="s">
        <v>43</v>
      </c>
      <c r="AM35" s="292" t="s">
        <v>48</v>
      </c>
      <c r="AN35" s="294" t="s">
        <v>49</v>
      </c>
    </row>
    <row r="36" spans="2:40" ht="15.75" thickBot="1" x14ac:dyDescent="0.3">
      <c r="B36" s="243"/>
      <c r="C36" s="81" t="str">
        <f>C35</f>
        <v>Argentine</v>
      </c>
      <c r="D36" s="82">
        <v>1</v>
      </c>
      <c r="E36" s="83">
        <v>0</v>
      </c>
      <c r="F36" s="82" t="str">
        <f>C40</f>
        <v>Iran</v>
      </c>
      <c r="G36" s="84" t="str">
        <f t="shared" si="0"/>
        <v>Argentine</v>
      </c>
      <c r="H36" s="210"/>
      <c r="I36" s="190">
        <v>1</v>
      </c>
      <c r="J36" s="191" t="str">
        <f>VLOOKUP(MAX(AM36:AM39),AM36:AN39,2,FALSE)</f>
        <v>Argentine</v>
      </c>
      <c r="K36" s="192">
        <f>VLOOKUP(J36,AH36:AL39,5,FALSE)</f>
        <v>9</v>
      </c>
      <c r="L36" s="192">
        <f>VLOOKUP(J36,AH36:AI39,2,FALSE)</f>
        <v>6</v>
      </c>
      <c r="M36" s="192">
        <f>VLOOKUP(J36,AH36:AJ39,3,FALSE)</f>
        <v>3</v>
      </c>
      <c r="N36" s="193">
        <f>VLOOKUP(J36,AH36:AK39,4,FALSE)</f>
        <v>3</v>
      </c>
      <c r="O36" s="209"/>
      <c r="P36" s="261" t="str">
        <f>J19</f>
        <v>Grèce</v>
      </c>
      <c r="Q36" s="241" t="s">
        <v>56</v>
      </c>
      <c r="R36" s="209"/>
      <c r="S36" s="283"/>
      <c r="T36" s="282"/>
      <c r="U36" s="209"/>
      <c r="V36" s="209"/>
      <c r="W36" s="209"/>
      <c r="X36" s="209"/>
      <c r="Y36" s="217"/>
      <c r="Z36" s="217"/>
      <c r="AA36" s="213"/>
      <c r="AH36" s="292" t="str">
        <f>C35</f>
        <v>Argentine</v>
      </c>
      <c r="AI36" s="294">
        <f>SUM(D35:D37)</f>
        <v>6</v>
      </c>
      <c r="AJ36" s="294">
        <f>SUM(E35:E37)</f>
        <v>3</v>
      </c>
      <c r="AK36" s="294">
        <f>SUM(AI36,-AJ36)</f>
        <v>3</v>
      </c>
      <c r="AL36" s="294">
        <f>COUNTIF(G35:G40,C35)*3+COUNTIF(G35:G37,"Égalité")</f>
        <v>9</v>
      </c>
      <c r="AM36" s="292">
        <f>SUM(AL36,AK36/100,AI36/10000)</f>
        <v>9.0305999999999997</v>
      </c>
      <c r="AN36" s="294" t="str">
        <f>C35</f>
        <v>Argentine</v>
      </c>
    </row>
    <row r="37" spans="2:40" x14ac:dyDescent="0.25">
      <c r="B37" s="243"/>
      <c r="C37" s="81" t="str">
        <f>C35</f>
        <v>Argentine</v>
      </c>
      <c r="D37" s="82">
        <v>3</v>
      </c>
      <c r="E37" s="83">
        <v>2</v>
      </c>
      <c r="F37" s="82" t="s">
        <v>33</v>
      </c>
      <c r="G37" s="84" t="str">
        <f t="shared" si="0"/>
        <v>Argentine</v>
      </c>
      <c r="H37" s="210"/>
      <c r="I37" s="90">
        <v>2</v>
      </c>
      <c r="J37" s="120" t="str">
        <f>VLOOKUP(LARGE(AM36:AM39,2),AM36:AN39,2,FALSE)</f>
        <v>Nigeria</v>
      </c>
      <c r="K37" s="89">
        <f>VLOOKUP(J37,AH36:AL39,5,FALSE)</f>
        <v>4</v>
      </c>
      <c r="L37" s="89">
        <f>VLOOKUP(J37,AH36:AI39,2,FALSE)</f>
        <v>3</v>
      </c>
      <c r="M37" s="89">
        <f>VLOOKUP(J37,AH36:AJ39,3,FALSE)</f>
        <v>3</v>
      </c>
      <c r="N37" s="121">
        <f>VLOOKUP(J37,AH36:AK39,4,FALSE)</f>
        <v>0</v>
      </c>
      <c r="O37" s="209"/>
      <c r="P37" s="262"/>
      <c r="Q37" s="237"/>
      <c r="R37" s="209"/>
      <c r="S37" s="209"/>
      <c r="T37" s="209"/>
      <c r="U37" s="209"/>
      <c r="V37" s="209"/>
      <c r="W37" s="209"/>
      <c r="X37" s="209"/>
      <c r="Y37" s="217"/>
      <c r="Z37" s="217"/>
      <c r="AA37" s="213"/>
      <c r="AH37" s="294" t="str">
        <f>C38</f>
        <v>Bosnie</v>
      </c>
      <c r="AI37" s="294">
        <f>SUM(D38,D39,E35)</f>
        <v>4</v>
      </c>
      <c r="AJ37" s="294">
        <f>SUM(D35,E38,E39)</f>
        <v>4</v>
      </c>
      <c r="AK37" s="294">
        <f t="shared" ref="AK37:AK39" si="11">SUM(AI37,-AJ37)</f>
        <v>0</v>
      </c>
      <c r="AL37" s="294">
        <f>COUNTIF(G35:G40,C38)*3+COUNTIF(G35,"Égalité")+COUNTIF(G38:G39,"Égalité")</f>
        <v>3</v>
      </c>
      <c r="AM37" s="292">
        <f t="shared" ref="AM37:AM39" si="12">SUM(AL37,AK37/100,AI37/10000)</f>
        <v>3.0004</v>
      </c>
      <c r="AN37" s="294" t="str">
        <f>C38</f>
        <v>Bosnie</v>
      </c>
    </row>
    <row r="38" spans="2:40" ht="15.75" thickBot="1" x14ac:dyDescent="0.3">
      <c r="B38" s="243"/>
      <c r="C38" s="81" t="s">
        <v>31</v>
      </c>
      <c r="D38" s="82">
        <v>3</v>
      </c>
      <c r="E38" s="83">
        <v>1</v>
      </c>
      <c r="F38" s="82" t="str">
        <f>C40</f>
        <v>Iran</v>
      </c>
      <c r="G38" s="84" t="str">
        <f t="shared" si="0"/>
        <v>Bosnie</v>
      </c>
      <c r="H38" s="210"/>
      <c r="I38" s="84">
        <v>3</v>
      </c>
      <c r="J38" s="133" t="str">
        <f>VLOOKUP(LARGE(AM36:AM39,3),AM36:AN39,2,FALSE)</f>
        <v>Bosnie</v>
      </c>
      <c r="K38" s="82">
        <f>VLOOKUP(J38,AH36:AL39,5,FALSE)</f>
        <v>3</v>
      </c>
      <c r="L38" s="82">
        <f>VLOOKUP(J38,AH36:AI39,2,FALSE)</f>
        <v>4</v>
      </c>
      <c r="M38" s="82">
        <f>VLOOKUP(J38,AH36:AJ39,3,FALSE)</f>
        <v>4</v>
      </c>
      <c r="N38" s="134">
        <f>VLOOKUP(J38,AH36:AK39,4,FALSE)</f>
        <v>0</v>
      </c>
      <c r="O38" s="209"/>
      <c r="P38" s="259" t="str">
        <f>J24</f>
        <v>Costa Rica</v>
      </c>
      <c r="Q38" s="237" t="s">
        <v>58</v>
      </c>
      <c r="R38" s="209"/>
      <c r="S38" s="209"/>
      <c r="T38" s="209"/>
      <c r="U38" s="209"/>
      <c r="V38" s="209"/>
      <c r="W38" s="209"/>
      <c r="X38" s="209"/>
      <c r="Y38" s="217"/>
      <c r="Z38" s="217"/>
      <c r="AA38" s="213"/>
      <c r="AH38" s="294" t="str">
        <f>C40</f>
        <v>Iran</v>
      </c>
      <c r="AI38" s="294">
        <f>SUM(D40,E36,E38)</f>
        <v>1</v>
      </c>
      <c r="AJ38" s="294">
        <f>SUM(D36,D38,E40)</f>
        <v>4</v>
      </c>
      <c r="AK38" s="294">
        <f t="shared" si="11"/>
        <v>-3</v>
      </c>
      <c r="AL38" s="294">
        <f>COUNTIF(G35:G40,C40)*3+COUNTIF(G36,"Égalité")+COUNTIF(G38,"Égalité")+COUNTIF(G40,"Égalité")</f>
        <v>1</v>
      </c>
      <c r="AM38" s="292">
        <f t="shared" si="12"/>
        <v>0.97009999999999996</v>
      </c>
      <c r="AN38" s="294" t="str">
        <f>C40</f>
        <v>Iran</v>
      </c>
    </row>
    <row r="39" spans="2:40" ht="15.75" thickBot="1" x14ac:dyDescent="0.3">
      <c r="B39" s="243"/>
      <c r="C39" s="81" t="str">
        <f>C38</f>
        <v>Bosnie</v>
      </c>
      <c r="D39" s="82">
        <v>0</v>
      </c>
      <c r="E39" s="83">
        <v>1</v>
      </c>
      <c r="F39" s="82" t="str">
        <f>F37</f>
        <v>Nigeria</v>
      </c>
      <c r="G39" s="84" t="str">
        <f t="shared" si="0"/>
        <v>Nigeria</v>
      </c>
      <c r="H39" s="210"/>
      <c r="I39" s="105">
        <v>4</v>
      </c>
      <c r="J39" s="169" t="str">
        <f>VLOOKUP(LARGE(AM36:AM39,4),AM36:AN39,2,FALSE)</f>
        <v>Iran</v>
      </c>
      <c r="K39" s="170">
        <f>VLOOKUP(J39,AH36:AL39,5,FALSE)</f>
        <v>1</v>
      </c>
      <c r="L39" s="104">
        <f>VLOOKUP(J39,AH36:AI39,2,FALSE)</f>
        <v>1</v>
      </c>
      <c r="M39" s="104">
        <f>VLOOKUP(J39,AH36:AJ39,3,FALSE)</f>
        <v>4</v>
      </c>
      <c r="N39" s="171">
        <f>VLOOKUP(J39,AH36:AK39,4,FALSE)</f>
        <v>-3</v>
      </c>
      <c r="O39" s="209"/>
      <c r="P39" s="260"/>
      <c r="Q39" s="238"/>
      <c r="R39" s="209"/>
      <c r="S39" s="216"/>
      <c r="T39" s="216"/>
      <c r="U39" s="209"/>
      <c r="V39" s="273" t="str">
        <f>IF(T33&lt;&gt;T35,IF(T33&gt;T35,S33,S35),"")</f>
        <v>Pays-Bas</v>
      </c>
      <c r="W39" s="241" t="s">
        <v>61</v>
      </c>
      <c r="X39" s="209"/>
      <c r="Y39" s="209"/>
      <c r="Z39" s="209"/>
      <c r="AA39" s="213"/>
      <c r="AH39" s="294" t="str">
        <f>F37</f>
        <v>Nigeria</v>
      </c>
      <c r="AI39" s="294">
        <f>SUM(E37,E39,E40)</f>
        <v>3</v>
      </c>
      <c r="AJ39" s="294">
        <f>SUM(D37,D39,D40)</f>
        <v>3</v>
      </c>
      <c r="AK39" s="294">
        <f t="shared" si="11"/>
        <v>0</v>
      </c>
      <c r="AL39" s="295">
        <f>COUNTIF(G35:G40,F37)*3+COUNTIF(G37,"Égalité")+COUNTIF(G39:G40,"Égalité")</f>
        <v>4</v>
      </c>
      <c r="AM39" s="292">
        <f t="shared" si="12"/>
        <v>4.0003000000000002</v>
      </c>
      <c r="AN39" s="294" t="str">
        <f>F37</f>
        <v>Nigeria</v>
      </c>
    </row>
    <row r="40" spans="2:40" ht="15.75" thickBot="1" x14ac:dyDescent="0.3">
      <c r="B40" s="244"/>
      <c r="C40" s="85" t="s">
        <v>32</v>
      </c>
      <c r="D40" s="86">
        <v>0</v>
      </c>
      <c r="E40" s="87">
        <v>0</v>
      </c>
      <c r="F40" s="86" t="str">
        <f>F37</f>
        <v>Nigeria</v>
      </c>
      <c r="G40" s="88" t="str">
        <f t="shared" si="0"/>
        <v>Égalité</v>
      </c>
      <c r="H40" s="210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16"/>
      <c r="T40" s="216"/>
      <c r="U40" s="209"/>
      <c r="V40" s="274"/>
      <c r="W40" s="237"/>
      <c r="X40" s="209"/>
      <c r="Y40" s="209"/>
      <c r="Z40" s="209"/>
      <c r="AA40" s="213"/>
    </row>
    <row r="41" spans="2:40" ht="15.75" thickBot="1" x14ac:dyDescent="0.3">
      <c r="B41" s="245" t="s">
        <v>13</v>
      </c>
      <c r="C41" s="91" t="s">
        <v>34</v>
      </c>
      <c r="D41" s="92">
        <v>2</v>
      </c>
      <c r="E41" s="93">
        <v>2</v>
      </c>
      <c r="F41" s="92" t="str">
        <f>C44</f>
        <v>Ghana</v>
      </c>
      <c r="G41" s="94" t="str">
        <f t="shared" si="0"/>
        <v>Égalité</v>
      </c>
      <c r="H41" s="210"/>
      <c r="I41" s="10" t="s">
        <v>47</v>
      </c>
      <c r="J41" s="199" t="s">
        <v>49</v>
      </c>
      <c r="K41" s="198" t="s">
        <v>43</v>
      </c>
      <c r="L41" s="179" t="s">
        <v>44</v>
      </c>
      <c r="M41" s="179" t="s">
        <v>45</v>
      </c>
      <c r="N41" s="180" t="s">
        <v>46</v>
      </c>
      <c r="O41" s="209"/>
      <c r="P41" s="209"/>
      <c r="Q41" s="209"/>
      <c r="R41" s="209"/>
      <c r="S41" s="216"/>
      <c r="T41" s="216"/>
      <c r="U41" s="209"/>
      <c r="V41" s="274" t="str">
        <f>IF(T45&lt;&gt;T47,IF(T45&gt;T47,S45,S47),"")</f>
        <v>Argentine</v>
      </c>
      <c r="W41" s="237" t="s">
        <v>59</v>
      </c>
      <c r="X41" s="209"/>
      <c r="Y41" s="217"/>
      <c r="Z41" s="217"/>
      <c r="AA41" s="213"/>
      <c r="AH41" s="292" t="s">
        <v>49</v>
      </c>
      <c r="AI41" s="294" t="s">
        <v>44</v>
      </c>
      <c r="AJ41" s="294" t="s">
        <v>45</v>
      </c>
      <c r="AK41" s="295" t="s">
        <v>46</v>
      </c>
      <c r="AL41" s="294" t="s">
        <v>43</v>
      </c>
      <c r="AM41" s="292" t="s">
        <v>48</v>
      </c>
      <c r="AN41" s="294" t="s">
        <v>49</v>
      </c>
    </row>
    <row r="42" spans="2:40" ht="15.75" thickBot="1" x14ac:dyDescent="0.3">
      <c r="B42" s="246"/>
      <c r="C42" s="95" t="str">
        <f>C41</f>
        <v>Allemagne</v>
      </c>
      <c r="D42" s="96">
        <v>4</v>
      </c>
      <c r="E42" s="97">
        <v>0</v>
      </c>
      <c r="F42" s="96" t="str">
        <f>C46</f>
        <v>Portugal</v>
      </c>
      <c r="G42" s="98" t="str">
        <f t="shared" si="0"/>
        <v>Allemagne</v>
      </c>
      <c r="H42" s="210"/>
      <c r="I42" s="218">
        <v>1</v>
      </c>
      <c r="J42" s="219" t="str">
        <f>VLOOKUP(MAX(AM42:AM45),AM42:AN45,2,FALSE)</f>
        <v>Allemagne</v>
      </c>
      <c r="K42" s="220">
        <f>VLOOKUP(J42,AH42:AL45,5,FALSE)</f>
        <v>7</v>
      </c>
      <c r="L42" s="220">
        <f>VLOOKUP(J42,AH42:AI45,2,FALSE)</f>
        <v>7</v>
      </c>
      <c r="M42" s="220">
        <f>VLOOKUP(J42,AH42:AJ45,3,FALSE)</f>
        <v>2</v>
      </c>
      <c r="N42" s="221">
        <f>VLOOKUP(J42,AH42:AK45,4,FALSE)</f>
        <v>5</v>
      </c>
      <c r="O42" s="209"/>
      <c r="P42" s="269" t="str">
        <f>J31</f>
        <v>Suisse</v>
      </c>
      <c r="Q42" s="241">
        <v>0</v>
      </c>
      <c r="R42" s="209"/>
      <c r="S42" s="216"/>
      <c r="T42" s="216"/>
      <c r="U42" s="209"/>
      <c r="V42" s="283"/>
      <c r="W42" s="238"/>
      <c r="X42" s="209"/>
      <c r="Y42" s="284" t="s">
        <v>54</v>
      </c>
      <c r="Z42" s="285"/>
      <c r="AA42" s="213"/>
      <c r="AH42" s="292" t="str">
        <f>C41</f>
        <v>Allemagne</v>
      </c>
      <c r="AI42" s="294">
        <f>SUM(D41:D43)</f>
        <v>7</v>
      </c>
      <c r="AJ42" s="294">
        <f>SUM(E41:E43)</f>
        <v>2</v>
      </c>
      <c r="AK42" s="294">
        <f>SUM(AI42,-AJ42)</f>
        <v>5</v>
      </c>
      <c r="AL42" s="294">
        <f>COUNTIF(G41:G46,C41)*3+COUNTIF(G41:G43,"Égalité")</f>
        <v>7</v>
      </c>
      <c r="AM42" s="292">
        <f>SUM(AL42,AK42/100,AI42/10000)</f>
        <v>7.0507</v>
      </c>
      <c r="AN42" s="294" t="str">
        <f>C41</f>
        <v>Allemagne</v>
      </c>
    </row>
    <row r="43" spans="2:40" x14ac:dyDescent="0.25">
      <c r="B43" s="246"/>
      <c r="C43" s="95" t="str">
        <f>C41</f>
        <v>Allemagne</v>
      </c>
      <c r="D43" s="96">
        <v>1</v>
      </c>
      <c r="E43" s="97">
        <v>0</v>
      </c>
      <c r="F43" s="96" t="s">
        <v>37</v>
      </c>
      <c r="G43" s="98" t="str">
        <f t="shared" si="0"/>
        <v>Allemagne</v>
      </c>
      <c r="H43" s="210"/>
      <c r="I43" s="222">
        <v>2</v>
      </c>
      <c r="J43" s="223" t="str">
        <f>VLOOKUP(LARGE(AM42:AM45,2),AM42:AN45,2,FALSE)</f>
        <v>États-Unis</v>
      </c>
      <c r="K43" s="224">
        <f>VLOOKUP(J43,AH42:AL45,5,FALSE)</f>
        <v>4</v>
      </c>
      <c r="L43" s="224">
        <f>VLOOKUP(J43,AH42:AI45,2,FALSE)</f>
        <v>4</v>
      </c>
      <c r="M43" s="224">
        <f>VLOOKUP(J43,AH42:AJ45,3,FALSE)</f>
        <v>4</v>
      </c>
      <c r="N43" s="225">
        <f>VLOOKUP(J43,AH42:AK45,4,FALSE)</f>
        <v>0</v>
      </c>
      <c r="O43" s="209"/>
      <c r="P43" s="270"/>
      <c r="Q43" s="237"/>
      <c r="R43" s="209"/>
      <c r="S43" s="209"/>
      <c r="T43" s="209"/>
      <c r="U43" s="209"/>
      <c r="V43" s="209"/>
      <c r="W43" s="209"/>
      <c r="X43" s="209"/>
      <c r="Y43" s="273" t="str">
        <f>IF(W15&lt;&gt;W17,IF(W15&lt;W17,V15,V17),"")</f>
        <v>Brésil</v>
      </c>
      <c r="Z43" s="241">
        <v>0</v>
      </c>
      <c r="AA43" s="213"/>
      <c r="AH43" s="294" t="str">
        <f>C44</f>
        <v>Ghana</v>
      </c>
      <c r="AI43" s="294">
        <f>SUM(D44,D45,E41)</f>
        <v>4</v>
      </c>
      <c r="AJ43" s="294">
        <f>SUM(D41,E44,E45)</f>
        <v>6</v>
      </c>
      <c r="AK43" s="294">
        <f t="shared" ref="AK43:AK45" si="13">SUM(AI43,-AJ43)</f>
        <v>-2</v>
      </c>
      <c r="AL43" s="294">
        <f>COUNTIF(G41:G46,C44)*3+COUNTIF(G41,"Égalité")+COUNTIF(G44:G45,"Égalité")</f>
        <v>1</v>
      </c>
      <c r="AM43" s="292">
        <f>SUM(AL43,AK43/100,AI43/10000)</f>
        <v>0.98039999999999994</v>
      </c>
      <c r="AN43" s="294" t="str">
        <f>C44</f>
        <v>Ghana</v>
      </c>
    </row>
    <row r="44" spans="2:40" ht="15.75" thickBot="1" x14ac:dyDescent="0.3">
      <c r="B44" s="246"/>
      <c r="C44" s="95" t="s">
        <v>35</v>
      </c>
      <c r="D44" s="96">
        <v>1</v>
      </c>
      <c r="E44" s="97">
        <v>2</v>
      </c>
      <c r="F44" s="96" t="str">
        <f>C46</f>
        <v>Portugal</v>
      </c>
      <c r="G44" s="98" t="str">
        <f t="shared" si="0"/>
        <v>Portugal</v>
      </c>
      <c r="H44" s="210"/>
      <c r="I44" s="98">
        <v>3</v>
      </c>
      <c r="J44" s="118" t="str">
        <f>VLOOKUP(LARGE(AM42:AM45,3),AM42:AN45,2,FALSE)</f>
        <v>Portugal</v>
      </c>
      <c r="K44" s="96">
        <f>VLOOKUP(J44,AH42:AL45,5,FALSE)</f>
        <v>4</v>
      </c>
      <c r="L44" s="96">
        <f>VLOOKUP(J44,AH42:AI45,2,FALSE)</f>
        <v>4</v>
      </c>
      <c r="M44" s="96">
        <f>VLOOKUP(J44,AH42:AJ45,3,FALSE)</f>
        <v>7</v>
      </c>
      <c r="N44" s="119">
        <f>VLOOKUP(J44,AH42:AK45,4,FALSE)</f>
        <v>-3</v>
      </c>
      <c r="O44" s="209"/>
      <c r="P44" s="271" t="str">
        <f>J36</f>
        <v>Argentine</v>
      </c>
      <c r="Q44" s="237">
        <v>1</v>
      </c>
      <c r="R44" s="209"/>
      <c r="S44" s="209"/>
      <c r="T44" s="209"/>
      <c r="U44" s="209"/>
      <c r="V44" s="209"/>
      <c r="W44" s="209"/>
      <c r="X44" s="209"/>
      <c r="Y44" s="274"/>
      <c r="Z44" s="237"/>
      <c r="AA44" s="213"/>
      <c r="AH44" s="294" t="str">
        <f>C46</f>
        <v>Portugal</v>
      </c>
      <c r="AI44" s="294">
        <f>SUM(D46,E42,E44)</f>
        <v>4</v>
      </c>
      <c r="AJ44" s="294">
        <f>SUM(D42,D44,E46)</f>
        <v>7</v>
      </c>
      <c r="AK44" s="294">
        <f t="shared" si="13"/>
        <v>-3</v>
      </c>
      <c r="AL44" s="294">
        <f>COUNTIF(G41:G46,C46)*3+COUNTIF(G42,"Égalité")+COUNTIF(G44,"Égalité")+COUNTIF(G46,"Égalité")</f>
        <v>4</v>
      </c>
      <c r="AM44" s="292">
        <f>SUM(AL44,AK44/100,AI44/10000)</f>
        <v>3.9704000000000002</v>
      </c>
      <c r="AN44" s="294" t="str">
        <f>C46</f>
        <v>Portugal</v>
      </c>
    </row>
    <row r="45" spans="2:40" ht="15.75" thickBot="1" x14ac:dyDescent="0.3">
      <c r="B45" s="246"/>
      <c r="C45" s="95" t="str">
        <f>C44</f>
        <v>Ghana</v>
      </c>
      <c r="D45" s="96">
        <v>1</v>
      </c>
      <c r="E45" s="97">
        <v>2</v>
      </c>
      <c r="F45" s="96" t="str">
        <f>F43</f>
        <v>États-Unis</v>
      </c>
      <c r="G45" s="98" t="str">
        <f t="shared" si="0"/>
        <v>États-Unis</v>
      </c>
      <c r="H45" s="210"/>
      <c r="I45" s="102">
        <v>4</v>
      </c>
      <c r="J45" s="172" t="str">
        <f>VLOOKUP(LARGE(AM42:AM45,4),AM42:AN45,2,FALSE)</f>
        <v>Ghana</v>
      </c>
      <c r="K45" s="173">
        <f>VLOOKUP(J45,AH42:AL45,5,FALSE)</f>
        <v>1</v>
      </c>
      <c r="L45" s="100">
        <f>VLOOKUP(J45,AH42:AI45,2,FALSE)</f>
        <v>4</v>
      </c>
      <c r="M45" s="100">
        <f>VLOOKUP(J45,AH42:AJ45,3,FALSE)</f>
        <v>6</v>
      </c>
      <c r="N45" s="174">
        <f>VLOOKUP(J45,AH42:AK45,4,FALSE)</f>
        <v>-2</v>
      </c>
      <c r="O45" s="209"/>
      <c r="P45" s="272"/>
      <c r="Q45" s="238"/>
      <c r="R45" s="209"/>
      <c r="S45" s="273" t="str">
        <f>IF(Q42&lt;&gt;Q44,IF(Q42&gt;Q44,P42,P44),"")</f>
        <v>Argentine</v>
      </c>
      <c r="T45" s="277">
        <v>1</v>
      </c>
      <c r="U45" s="209"/>
      <c r="V45" s="209"/>
      <c r="W45" s="209"/>
      <c r="X45" s="209"/>
      <c r="Y45" s="274" t="str">
        <f>IF(W39&lt;&gt;W41,IF(W39&lt;W41,V39,V41),"")</f>
        <v>Pays-Bas</v>
      </c>
      <c r="Z45" s="237">
        <v>3</v>
      </c>
      <c r="AA45" s="213"/>
      <c r="AH45" s="294" t="str">
        <f>F43</f>
        <v>États-Unis</v>
      </c>
      <c r="AI45" s="294">
        <f>SUM(E43,E45,E46)</f>
        <v>4</v>
      </c>
      <c r="AJ45" s="294">
        <f>SUM(D43,D45,D46)</f>
        <v>4</v>
      </c>
      <c r="AK45" s="294">
        <f t="shared" si="13"/>
        <v>0</v>
      </c>
      <c r="AL45" s="295">
        <f>COUNTIF(G41:G46,F43)*3+COUNTIF(G43,"Égalité")+COUNTIF(G45:G46,"Égalité")</f>
        <v>4</v>
      </c>
      <c r="AM45" s="292">
        <f>SUM(AL45,AK45/100,AI45/10000)</f>
        <v>4.0004</v>
      </c>
      <c r="AN45" s="294" t="str">
        <f>F43</f>
        <v>États-Unis</v>
      </c>
    </row>
    <row r="46" spans="2:40" ht="15.75" thickBot="1" x14ac:dyDescent="0.3">
      <c r="B46" s="247"/>
      <c r="C46" s="99" t="s">
        <v>36</v>
      </c>
      <c r="D46" s="100">
        <v>2</v>
      </c>
      <c r="E46" s="101">
        <v>2</v>
      </c>
      <c r="F46" s="100" t="str">
        <f>F43</f>
        <v>États-Unis</v>
      </c>
      <c r="G46" s="102" t="str">
        <f t="shared" si="0"/>
        <v>Égalité</v>
      </c>
      <c r="H46" s="210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74"/>
      <c r="T46" s="278"/>
      <c r="U46" s="209"/>
      <c r="V46" s="209"/>
      <c r="W46" s="209"/>
      <c r="X46" s="216"/>
      <c r="Y46" s="283"/>
      <c r="Z46" s="238"/>
      <c r="AA46" s="213"/>
    </row>
    <row r="47" spans="2:40" ht="15.75" thickBot="1" x14ac:dyDescent="0.3">
      <c r="B47" s="248" t="s">
        <v>14</v>
      </c>
      <c r="C47" s="106" t="s">
        <v>38</v>
      </c>
      <c r="D47" s="107">
        <v>1</v>
      </c>
      <c r="E47" s="108">
        <v>2</v>
      </c>
      <c r="F47" s="107" t="str">
        <f>C50</f>
        <v>Belgique</v>
      </c>
      <c r="G47" s="109" t="str">
        <f t="shared" si="0"/>
        <v>Belgique</v>
      </c>
      <c r="H47" s="210"/>
      <c r="I47" s="10" t="s">
        <v>47</v>
      </c>
      <c r="J47" s="199" t="s">
        <v>49</v>
      </c>
      <c r="K47" s="198" t="s">
        <v>43</v>
      </c>
      <c r="L47" s="179" t="s">
        <v>44</v>
      </c>
      <c r="M47" s="179" t="s">
        <v>45</v>
      </c>
      <c r="N47" s="180" t="s">
        <v>46</v>
      </c>
      <c r="O47" s="209"/>
      <c r="P47" s="209"/>
      <c r="Q47" s="209"/>
      <c r="R47" s="209"/>
      <c r="S47" s="274" t="str">
        <f>IF(Q48&lt;&gt;Q50,IF(Q48&gt;Q50,P48,P50),"")</f>
        <v>Belgique</v>
      </c>
      <c r="T47" s="281">
        <v>0</v>
      </c>
      <c r="U47" s="209"/>
      <c r="V47" s="209"/>
      <c r="W47" s="209"/>
      <c r="X47" s="216"/>
      <c r="Y47" s="209"/>
      <c r="Z47" s="209"/>
      <c r="AA47" s="213"/>
      <c r="AH47" s="292" t="s">
        <v>49</v>
      </c>
      <c r="AI47" s="294" t="s">
        <v>44</v>
      </c>
      <c r="AJ47" s="294" t="s">
        <v>45</v>
      </c>
      <c r="AK47" s="295" t="s">
        <v>46</v>
      </c>
      <c r="AL47" s="294" t="s">
        <v>43</v>
      </c>
      <c r="AM47" s="292" t="s">
        <v>48</v>
      </c>
      <c r="AN47" s="294" t="s">
        <v>49</v>
      </c>
    </row>
    <row r="48" spans="2:40" ht="15.75" thickBot="1" x14ac:dyDescent="0.3">
      <c r="B48" s="249"/>
      <c r="C48" s="110" t="str">
        <f>C47</f>
        <v>Algérie</v>
      </c>
      <c r="D48" s="111">
        <v>4</v>
      </c>
      <c r="E48" s="112">
        <v>2</v>
      </c>
      <c r="F48" s="111" t="str">
        <f>C52</f>
        <v>Corée</v>
      </c>
      <c r="G48" s="113" t="str">
        <f t="shared" si="0"/>
        <v>Algérie</v>
      </c>
      <c r="H48" s="210"/>
      <c r="I48" s="197">
        <v>1</v>
      </c>
      <c r="J48" s="194" t="str">
        <f>VLOOKUP(MAX(AM48:AM51),AM48:AN51,2,FALSE)</f>
        <v>Belgique</v>
      </c>
      <c r="K48" s="195">
        <f>VLOOKUP(J48,AH48:AL51,5,FALSE)</f>
        <v>9</v>
      </c>
      <c r="L48" s="195">
        <f>VLOOKUP(J48,AH48:AI51,2,FALSE)</f>
        <v>4</v>
      </c>
      <c r="M48" s="195">
        <f>VLOOKUP(J48,AH48:AJ51,3,FALSE)</f>
        <v>1</v>
      </c>
      <c r="N48" s="196">
        <f>VLOOKUP(J48,AH48:AK51,4,FALSE)</f>
        <v>3</v>
      </c>
      <c r="O48" s="209"/>
      <c r="P48" s="265" t="str">
        <f>J43</f>
        <v>États-Unis</v>
      </c>
      <c r="Q48" s="241">
        <v>1</v>
      </c>
      <c r="R48" s="209"/>
      <c r="S48" s="283"/>
      <c r="T48" s="282"/>
      <c r="U48" s="209"/>
      <c r="V48" s="209"/>
      <c r="W48" s="209"/>
      <c r="X48" s="216"/>
      <c r="Y48" s="209"/>
      <c r="Z48" s="209"/>
      <c r="AA48" s="213"/>
      <c r="AH48" s="292" t="str">
        <f>C47</f>
        <v>Algérie</v>
      </c>
      <c r="AI48" s="294">
        <f>SUM(D47:D49)</f>
        <v>6</v>
      </c>
      <c r="AJ48" s="294">
        <f>SUM(E47:E49)</f>
        <v>5</v>
      </c>
      <c r="AK48" s="294">
        <f>SUM(AI48,-AJ48)</f>
        <v>1</v>
      </c>
      <c r="AL48" s="294">
        <f>COUNTIF(G47:G52,C47)*3+COUNTIF(G47:G49,"Égalité")</f>
        <v>4</v>
      </c>
      <c r="AM48" s="292">
        <f>SUM(AL48,AK48/100,AI48/10000)</f>
        <v>4.0106000000000002</v>
      </c>
      <c r="AN48" s="294" t="str">
        <f>C47</f>
        <v>Algérie</v>
      </c>
    </row>
    <row r="49" spans="2:40" x14ac:dyDescent="0.25">
      <c r="B49" s="249"/>
      <c r="C49" s="110" t="str">
        <f>C47</f>
        <v>Algérie</v>
      </c>
      <c r="D49" s="111">
        <v>1</v>
      </c>
      <c r="E49" s="112">
        <v>1</v>
      </c>
      <c r="F49" s="111" t="s">
        <v>41</v>
      </c>
      <c r="G49" s="113" t="str">
        <f t="shared" si="0"/>
        <v>Égalité</v>
      </c>
      <c r="H49" s="210"/>
      <c r="I49" s="127">
        <v>2</v>
      </c>
      <c r="J49" s="128" t="str">
        <f>VLOOKUP(LARGE(AM48:AM51,2),AM48:AN51,2,FALSE)</f>
        <v>Algérie</v>
      </c>
      <c r="K49" s="129">
        <f>VLOOKUP(J49,AH48:AL51,5,FALSE)</f>
        <v>4</v>
      </c>
      <c r="L49" s="129">
        <f>VLOOKUP(J49,AH48:AI51,2,FALSE)</f>
        <v>6</v>
      </c>
      <c r="M49" s="129">
        <f>VLOOKUP(J49,AH48:AJ51,3,FALSE)</f>
        <v>5</v>
      </c>
      <c r="N49" s="130">
        <f>VLOOKUP(J49,AH48:AK51,4,FALSE)</f>
        <v>1</v>
      </c>
      <c r="O49" s="209"/>
      <c r="P49" s="266"/>
      <c r="Q49" s="237"/>
      <c r="R49" s="209"/>
      <c r="S49" s="209"/>
      <c r="T49" s="209"/>
      <c r="U49" s="209"/>
      <c r="V49" s="209"/>
      <c r="W49" s="209"/>
      <c r="X49" s="216"/>
      <c r="Y49" s="209"/>
      <c r="Z49" s="209"/>
      <c r="AA49" s="213"/>
      <c r="AH49" s="294" t="str">
        <f>C50</f>
        <v>Belgique</v>
      </c>
      <c r="AI49" s="294">
        <f>SUM(D50,D51,E47)</f>
        <v>4</v>
      </c>
      <c r="AJ49" s="294">
        <f>SUM(D47,E50,E51)</f>
        <v>1</v>
      </c>
      <c r="AK49" s="294">
        <f t="shared" ref="AK49:AK51" si="14">SUM(AI49,-AJ49)</f>
        <v>3</v>
      </c>
      <c r="AL49" s="294">
        <f>COUNTIF(G47:G52,C50)*3+COUNTIF(G47,"Égalité")+COUNTIF(G50:G51,"Égalité")</f>
        <v>9</v>
      </c>
      <c r="AM49" s="292">
        <f t="shared" ref="AM49:AM51" si="15">SUM(AL49,AK49/100,AI49/10000)</f>
        <v>9.0304000000000002</v>
      </c>
      <c r="AN49" s="294" t="str">
        <f>C50</f>
        <v>Belgique</v>
      </c>
    </row>
    <row r="50" spans="2:40" x14ac:dyDescent="0.25">
      <c r="B50" s="249"/>
      <c r="C50" s="110" t="s">
        <v>39</v>
      </c>
      <c r="D50" s="111">
        <v>1</v>
      </c>
      <c r="E50" s="112">
        <v>0</v>
      </c>
      <c r="F50" s="111" t="str">
        <f>C52</f>
        <v>Corée</v>
      </c>
      <c r="G50" s="113" t="str">
        <f t="shared" si="0"/>
        <v>Belgique</v>
      </c>
      <c r="H50" s="210"/>
      <c r="I50" s="113">
        <v>3</v>
      </c>
      <c r="J50" s="125" t="str">
        <f>VLOOKUP(LARGE(AM48:AM51,3),AM48:AN51,2,FALSE)</f>
        <v>Russie</v>
      </c>
      <c r="K50" s="111">
        <f>VLOOKUP(J50,AH48:AL51,5,FALSE)</f>
        <v>2</v>
      </c>
      <c r="L50" s="111">
        <f>VLOOKUP(J50,AH48:AI51,2,FALSE)</f>
        <v>2</v>
      </c>
      <c r="M50" s="111">
        <f>VLOOKUP(J50,AH48:AJ51,3,FALSE)</f>
        <v>3</v>
      </c>
      <c r="N50" s="126">
        <f>VLOOKUP(J50,AH48:AK51,4,FALSE)</f>
        <v>-1</v>
      </c>
      <c r="O50" s="209"/>
      <c r="P50" s="267" t="str">
        <f>J48</f>
        <v>Belgique</v>
      </c>
      <c r="Q50" s="237">
        <v>2</v>
      </c>
      <c r="R50" s="209"/>
      <c r="S50" s="209"/>
      <c r="T50" s="209"/>
      <c r="U50" s="209"/>
      <c r="V50" s="209"/>
      <c r="W50" s="209"/>
      <c r="X50" s="216"/>
      <c r="Y50" s="209"/>
      <c r="Z50" s="209"/>
      <c r="AA50" s="213"/>
      <c r="AH50" s="294" t="str">
        <f>C52</f>
        <v>Corée</v>
      </c>
      <c r="AI50" s="294">
        <f>SUM(D52,E48,E50)</f>
        <v>3</v>
      </c>
      <c r="AJ50" s="294">
        <f>SUM(D48,D50,E52)</f>
        <v>6</v>
      </c>
      <c r="AK50" s="294">
        <f t="shared" si="14"/>
        <v>-3</v>
      </c>
      <c r="AL50" s="294">
        <f>COUNTIF(G47:G52,C52)*3+COUNTIF(G48,"Égalité")+COUNTIF(G50,"Égalité")+COUNTIF(G52,"Égalité")</f>
        <v>1</v>
      </c>
      <c r="AM50" s="292">
        <f t="shared" si="15"/>
        <v>0.97029999999999994</v>
      </c>
      <c r="AN50" s="294" t="str">
        <f>C52</f>
        <v>Corée</v>
      </c>
    </row>
    <row r="51" spans="2:40" ht="15.75" thickBot="1" x14ac:dyDescent="0.3">
      <c r="B51" s="249"/>
      <c r="C51" s="110" t="str">
        <f>C50</f>
        <v>Belgique</v>
      </c>
      <c r="D51" s="111">
        <v>1</v>
      </c>
      <c r="E51" s="112">
        <v>0</v>
      </c>
      <c r="F51" s="111" t="str">
        <f>F49</f>
        <v>Russie</v>
      </c>
      <c r="G51" s="113" t="str">
        <f t="shared" si="0"/>
        <v>Belgique</v>
      </c>
      <c r="H51" s="210"/>
      <c r="I51" s="117">
        <v>4</v>
      </c>
      <c r="J51" s="151" t="str">
        <f>VLOOKUP(LARGE(AM48:AM51,4),AM48:AN51,2,FALSE)</f>
        <v>Corée</v>
      </c>
      <c r="K51" s="152">
        <f>VLOOKUP(J51,AH48:AL51,5,FALSE)</f>
        <v>1</v>
      </c>
      <c r="L51" s="115">
        <f>VLOOKUP(J51,AH48:AI51,2,FALSE)</f>
        <v>3</v>
      </c>
      <c r="M51" s="115">
        <f>VLOOKUP(J51,AH48:AJ51,3,FALSE)</f>
        <v>6</v>
      </c>
      <c r="N51" s="153">
        <f>VLOOKUP(J51,AH48:AK51,4,FALSE)</f>
        <v>-3</v>
      </c>
      <c r="O51" s="209"/>
      <c r="P51" s="268"/>
      <c r="Q51" s="238"/>
      <c r="R51" s="209"/>
      <c r="S51" s="209"/>
      <c r="T51" s="209"/>
      <c r="U51" s="209"/>
      <c r="V51" s="209"/>
      <c r="W51" s="209"/>
      <c r="X51" s="216"/>
      <c r="Y51" s="209"/>
      <c r="Z51" s="209"/>
      <c r="AA51" s="213"/>
      <c r="AH51" s="294" t="str">
        <f>F49</f>
        <v>Russie</v>
      </c>
      <c r="AI51" s="294">
        <f>SUM(E49,E51,E52)</f>
        <v>2</v>
      </c>
      <c r="AJ51" s="294">
        <f>SUM(D49,D51,D52)</f>
        <v>3</v>
      </c>
      <c r="AK51" s="294">
        <f t="shared" si="14"/>
        <v>-1</v>
      </c>
      <c r="AL51" s="295">
        <f>COUNTIF(G47:G52,F49)*3+COUNTIF(G49,"Égalité")+COUNTIF(G51:G52,"Égalité")</f>
        <v>2</v>
      </c>
      <c r="AM51" s="292">
        <f t="shared" si="15"/>
        <v>1.9902</v>
      </c>
      <c r="AN51" s="294" t="str">
        <f>F49</f>
        <v>Russie</v>
      </c>
    </row>
    <row r="52" spans="2:40" ht="15.75" thickBot="1" x14ac:dyDescent="0.3">
      <c r="B52" s="250"/>
      <c r="C52" s="114" t="s">
        <v>40</v>
      </c>
      <c r="D52" s="115">
        <v>1</v>
      </c>
      <c r="E52" s="116">
        <v>1</v>
      </c>
      <c r="F52" s="115" t="str">
        <f>F49</f>
        <v>Russie</v>
      </c>
      <c r="G52" s="117" t="str">
        <f t="shared" si="0"/>
        <v>Égalité</v>
      </c>
      <c r="H52" s="212"/>
      <c r="I52" s="211"/>
      <c r="J52" s="211"/>
      <c r="K52" s="211"/>
      <c r="L52" s="211"/>
      <c r="M52" s="211"/>
      <c r="N52" s="211"/>
      <c r="O52" s="211"/>
      <c r="P52" s="211"/>
      <c r="Q52" s="211"/>
      <c r="R52" s="211"/>
      <c r="S52" s="211"/>
      <c r="T52" s="211"/>
      <c r="U52" s="211"/>
      <c r="V52" s="211"/>
      <c r="W52" s="211"/>
      <c r="X52" s="214"/>
      <c r="Y52" s="211"/>
      <c r="Z52" s="211"/>
      <c r="AA52" s="215"/>
    </row>
    <row r="53" spans="2:40" x14ac:dyDescent="0.25">
      <c r="X53" s="8"/>
    </row>
    <row r="70" spans="32:33" x14ac:dyDescent="0.25">
      <c r="AF70" s="296"/>
      <c r="AG70" s="296"/>
    </row>
    <row r="71" spans="32:33" x14ac:dyDescent="0.25">
      <c r="AF71" s="296"/>
      <c r="AG71" s="296"/>
    </row>
    <row r="72" spans="32:33" x14ac:dyDescent="0.25">
      <c r="AF72" s="296"/>
      <c r="AG72" s="296"/>
    </row>
    <row r="73" spans="32:33" x14ac:dyDescent="0.25">
      <c r="AF73" s="296"/>
      <c r="AG73" s="296"/>
    </row>
  </sheetData>
  <mergeCells count="80">
    <mergeCell ref="V39:V40"/>
    <mergeCell ref="W39:W40"/>
    <mergeCell ref="V41:V42"/>
    <mergeCell ref="I4:N4"/>
    <mergeCell ref="B2:AA3"/>
    <mergeCell ref="Y27:Y28"/>
    <mergeCell ref="Z27:Z28"/>
    <mergeCell ref="Y29:Y30"/>
    <mergeCell ref="Z29:Z30"/>
    <mergeCell ref="W15:W16"/>
    <mergeCell ref="V17:V18"/>
    <mergeCell ref="W17:W18"/>
    <mergeCell ref="V15:V16"/>
    <mergeCell ref="S9:S10"/>
    <mergeCell ref="S11:S12"/>
    <mergeCell ref="T9:T10"/>
    <mergeCell ref="W41:W42"/>
    <mergeCell ref="Y43:Y44"/>
    <mergeCell ref="Z43:Z44"/>
    <mergeCell ref="Y45:Y46"/>
    <mergeCell ref="Z45:Z46"/>
    <mergeCell ref="Y42:Z42"/>
    <mergeCell ref="S45:S46"/>
    <mergeCell ref="T45:T46"/>
    <mergeCell ref="S47:S48"/>
    <mergeCell ref="T47:T48"/>
    <mergeCell ref="S35:S36"/>
    <mergeCell ref="T35:T36"/>
    <mergeCell ref="S33:S34"/>
    <mergeCell ref="T33:T34"/>
    <mergeCell ref="S21:S22"/>
    <mergeCell ref="T21:T22"/>
    <mergeCell ref="S23:S24"/>
    <mergeCell ref="T23:T24"/>
    <mergeCell ref="P50:P51"/>
    <mergeCell ref="Q50:Q51"/>
    <mergeCell ref="P18:P19"/>
    <mergeCell ref="Q18:Q19"/>
    <mergeCell ref="P20:P21"/>
    <mergeCell ref="Q20:Q21"/>
    <mergeCell ref="P42:P43"/>
    <mergeCell ref="P44:P45"/>
    <mergeCell ref="Q42:Q43"/>
    <mergeCell ref="Q44:Q45"/>
    <mergeCell ref="P48:P49"/>
    <mergeCell ref="Q48:Q49"/>
    <mergeCell ref="P32:P33"/>
    <mergeCell ref="Q32:Q33"/>
    <mergeCell ref="P36:P37"/>
    <mergeCell ref="P38:P39"/>
    <mergeCell ref="P24:P25"/>
    <mergeCell ref="Q24:Q25"/>
    <mergeCell ref="P26:P27"/>
    <mergeCell ref="Q26:Q27"/>
    <mergeCell ref="P30:P31"/>
    <mergeCell ref="Q30:Q31"/>
    <mergeCell ref="B35:B40"/>
    <mergeCell ref="B41:B46"/>
    <mergeCell ref="B47:B52"/>
    <mergeCell ref="C4:F4"/>
    <mergeCell ref="S4:T4"/>
    <mergeCell ref="B23:B28"/>
    <mergeCell ref="B29:B34"/>
    <mergeCell ref="P4:Q4"/>
    <mergeCell ref="P14:P15"/>
    <mergeCell ref="P12:P13"/>
    <mergeCell ref="Q12:Q13"/>
    <mergeCell ref="Q14:Q15"/>
    <mergeCell ref="P8:P9"/>
    <mergeCell ref="Q8:Q9"/>
    <mergeCell ref="Q36:Q37"/>
    <mergeCell ref="Q38:Q39"/>
    <mergeCell ref="V4:W4"/>
    <mergeCell ref="Y4:Z4"/>
    <mergeCell ref="B11:B16"/>
    <mergeCell ref="B17:B22"/>
    <mergeCell ref="B5:B10"/>
    <mergeCell ref="T11:T12"/>
    <mergeCell ref="P6:P7"/>
    <mergeCell ref="Q6:Q7"/>
  </mergeCells>
  <conditionalFormatting sqref="S9:S10">
    <cfRule type="expression" dxfId="63" priority="63">
      <formula>$Q$8&gt;$Q$6</formula>
    </cfRule>
    <cfRule type="expression" dxfId="62" priority="64">
      <formula>$Q$6&gt;$Q$8</formula>
    </cfRule>
  </conditionalFormatting>
  <conditionalFormatting sqref="S11:S12">
    <cfRule type="expression" dxfId="61" priority="61">
      <formula>$Q$12&gt;$Q$14</formula>
    </cfRule>
    <cfRule type="expression" dxfId="60" priority="62">
      <formula>$Q14&gt;$Q12</formula>
    </cfRule>
  </conditionalFormatting>
  <conditionalFormatting sqref="S21:S22">
    <cfRule type="expression" dxfId="59" priority="59">
      <formula>$Q$20&gt;$Q$18</formula>
    </cfRule>
    <cfRule type="expression" dxfId="58" priority="60">
      <formula>$Q$18&gt;$Q$20</formula>
    </cfRule>
  </conditionalFormatting>
  <conditionalFormatting sqref="S23:S24">
    <cfRule type="expression" dxfId="57" priority="57">
      <formula>$Q$24&gt;$Q$26</formula>
    </cfRule>
    <cfRule type="expression" dxfId="56" priority="58">
      <formula>$Q$26&gt;$Q$24</formula>
    </cfRule>
  </conditionalFormatting>
  <conditionalFormatting sqref="S45:S46">
    <cfRule type="expression" dxfId="55" priority="55">
      <formula>$Q$44&gt;$Q$42</formula>
    </cfRule>
    <cfRule type="expression" dxfId="54" priority="56">
      <formula>$Q$42&gt;$Q$44</formula>
    </cfRule>
  </conditionalFormatting>
  <conditionalFormatting sqref="S47:S48">
    <cfRule type="expression" dxfId="53" priority="53">
      <formula>$Q$48&gt;$Q$50</formula>
    </cfRule>
    <cfRule type="expression" dxfId="52" priority="54">
      <formula>$Q$50&gt;$Q$48</formula>
    </cfRule>
  </conditionalFormatting>
  <conditionalFormatting sqref="S33:S34">
    <cfRule type="expression" dxfId="51" priority="51">
      <formula>$Q$32&gt;$Q$30</formula>
    </cfRule>
    <cfRule type="expression" dxfId="50" priority="52">
      <formula>$Q$30&gt;$Q$32</formula>
    </cfRule>
  </conditionalFormatting>
  <conditionalFormatting sqref="S35:S36">
    <cfRule type="expression" dxfId="49" priority="49">
      <formula>$Q$36&gt;$Q$38</formula>
    </cfRule>
    <cfRule type="expression" dxfId="48" priority="50">
      <formula>$Q$38&gt;$Q$36</formula>
    </cfRule>
  </conditionalFormatting>
  <conditionalFormatting sqref="V15:V16">
    <cfRule type="expression" dxfId="47" priority="45">
      <formula>AND($Q$14&gt;$Q$12,$T$11&gt;$T$9)</formula>
    </cfRule>
    <cfRule type="expression" dxfId="46" priority="46">
      <formula>AND($Q$12&gt;$Q$14,$T$11&gt;$T$9)</formula>
    </cfRule>
    <cfRule type="expression" dxfId="45" priority="47">
      <formula>AND($Q$8&gt;$Q$6,$T$9&gt;$T$11)</formula>
    </cfRule>
    <cfRule type="expression" dxfId="44" priority="48">
      <formula>AND($Q$6&gt;$Q$8,$T$9&gt;$T$11)</formula>
    </cfRule>
  </conditionalFormatting>
  <conditionalFormatting sqref="V17:V18">
    <cfRule type="expression" dxfId="43" priority="41">
      <formula>AND($Q$26&gt;$Q$24,$T$23&gt;$T$21)</formula>
    </cfRule>
    <cfRule type="expression" dxfId="42" priority="42">
      <formula>AND($Q$24&gt;$Q$26,$T$23&gt;$T$21)</formula>
    </cfRule>
    <cfRule type="expression" dxfId="41" priority="43">
      <formula>AND($Q$20&gt;$Q$18,$T$21&gt;$T$23)</formula>
    </cfRule>
    <cfRule type="expression" dxfId="40" priority="44">
      <formula>AND($Q$18&gt;$Q$20,$T$21&gt;$T$23)</formula>
    </cfRule>
  </conditionalFormatting>
  <conditionalFormatting sqref="V39:V40">
    <cfRule type="expression" dxfId="39" priority="37">
      <formula>AND($Q$38&gt;$Q$36,$T$35&gt;$T$33)</formula>
    </cfRule>
    <cfRule type="expression" dxfId="38" priority="38">
      <formula>AND($Q$36&gt;$Q$38,$T$35&gt;$T$33)</formula>
    </cfRule>
    <cfRule type="expression" dxfId="37" priority="39">
      <formula>AND($Q$32&gt;$Q$30,$T$33&gt;$T$35)</formula>
    </cfRule>
    <cfRule type="expression" dxfId="36" priority="40">
      <formula>AND($Q$30&gt;$Q$32,$T$33&gt;$T$35)</formula>
    </cfRule>
  </conditionalFormatting>
  <conditionalFormatting sqref="V41:V42">
    <cfRule type="expression" dxfId="35" priority="33">
      <formula>AND($Q$50&gt;$Q$48,$T$47&gt;$T$45)</formula>
    </cfRule>
    <cfRule type="expression" dxfId="34" priority="34">
      <formula>AND($Q$48&gt;$Q$50,$T$47&gt;$T$45)</formula>
    </cfRule>
    <cfRule type="expression" dxfId="33" priority="35">
      <formula>AND($Q$44&gt;$Q$42,$T$45&gt;$T$47)</formula>
    </cfRule>
    <cfRule type="expression" dxfId="32" priority="36">
      <formula>AND($Q$42&gt;$Q$44,$T$45&gt;$T$47)</formula>
    </cfRule>
  </conditionalFormatting>
  <conditionalFormatting sqref="Y43:Y44">
    <cfRule type="expression" dxfId="31" priority="25">
      <formula>AND($Q$26&gt;$Q$24,$T$23&gt;$T$21,$W$17&lt;$W$15)</formula>
    </cfRule>
    <cfRule type="expression" dxfId="30" priority="26">
      <formula>AND($Q$24&gt;$Q$26,$T$23&gt;$T$21,$W$17&lt;$W$15)</formula>
    </cfRule>
    <cfRule type="expression" dxfId="29" priority="27">
      <formula>AND($Q$20&gt;$Q$18,$T$21&gt;$T$23,$W$17&lt;$W$15)</formula>
    </cfRule>
    <cfRule type="expression" dxfId="28" priority="28">
      <formula>AND($Q$18&gt;$Q$20,$T$21&gt;$T$23,$W$17&lt;$W$15)</formula>
    </cfRule>
    <cfRule type="expression" dxfId="27" priority="29">
      <formula>AND($Q$14&gt;$Q$12,$T$11&gt;$T$9,$W$15&lt;$W$17)</formula>
    </cfRule>
    <cfRule type="expression" dxfId="26" priority="30">
      <formula>AND($Q$12&gt;$Q$14,$T$11&gt;$T$9,$W$15&lt;$W$17)</formula>
    </cfRule>
    <cfRule type="expression" dxfId="25" priority="31">
      <formula>AND($Q$8&gt;$Q$6,$T$9&gt;$T$11,$W$15&lt;$W$17)</formula>
    </cfRule>
    <cfRule type="expression" dxfId="24" priority="32">
      <formula>AND($Q$6&gt;$Q$8,$T$9&gt;$T$11,$W$15&lt;$W$17)</formula>
    </cfRule>
  </conditionalFormatting>
  <conditionalFormatting sqref="Y27:Y28">
    <cfRule type="expression" dxfId="23" priority="17">
      <formula>AND($Q$26&gt;$Q$24,$T$23&gt;$T$21,$W$17&gt;$W$15)</formula>
    </cfRule>
    <cfRule type="expression" dxfId="22" priority="18">
      <formula>AND($Q$24&gt;$Q$26,$T$23&gt;$T$21,$W$17&gt;$W$15)</formula>
    </cfRule>
    <cfRule type="expression" dxfId="21" priority="19">
      <formula>AND($Q$20&gt;$Q$18,$T$21&gt;$T$23,$W$17&gt;$W$15)</formula>
    </cfRule>
    <cfRule type="expression" dxfId="20" priority="20">
      <formula>AND($Q$18&gt;$Q$20,$T$21&gt;$T$23,$W$17&gt;$W$15)</formula>
    </cfRule>
    <cfRule type="expression" dxfId="19" priority="21">
      <formula>AND($Q$14&gt;$Q$12,$T$11&gt;$T$9,$W$15&gt;$W$17)</formula>
    </cfRule>
    <cfRule type="expression" dxfId="18" priority="22">
      <formula>AND($Q$12&gt;$Q$14,$T$11&gt;$T$9,$W$15&gt;$W$17)</formula>
    </cfRule>
    <cfRule type="expression" dxfId="17" priority="23">
      <formula>AND($Q$8&gt;$Q$6,$T$9&gt;$T$11,$W$15&gt;$W$17)</formula>
    </cfRule>
    <cfRule type="expression" dxfId="16" priority="24">
      <formula>AND($Q$6&gt;$Q$8,$T$9&gt;$T$11,$W$15&gt;$W$17)</formula>
    </cfRule>
  </conditionalFormatting>
  <conditionalFormatting sqref="Y45:Y46">
    <cfRule type="expression" dxfId="15" priority="9">
      <formula>AND($Q$50&gt;$Q$48,$T$47&gt;$T$45,$W$41&lt;$W$39)</formula>
    </cfRule>
    <cfRule type="expression" dxfId="14" priority="10">
      <formula>AND($Q$48&gt;$Q$50,$T$47&gt;$T$45,$W$41&lt;$W$39)</formula>
    </cfRule>
    <cfRule type="expression" dxfId="13" priority="11">
      <formula>AND($Q$44&gt;$Q$42,$T$45&gt;$T$47,$W$41&lt;$W$39)</formula>
    </cfRule>
    <cfRule type="expression" dxfId="12" priority="12">
      <formula>AND($Q$42&gt;$Q$44,$T$45&gt;$T$47,$W$41&lt;$W$39)</formula>
    </cfRule>
    <cfRule type="expression" dxfId="11" priority="13">
      <formula>AND($Q$38&gt;$Q$36,$T$35&gt;$T$33,$W$39&lt;$W$41)</formula>
    </cfRule>
    <cfRule type="expression" dxfId="10" priority="14">
      <formula>AND($Q$36&gt;$Q$38,$T$35&gt;$T$33,$W$39&lt;$W$41)</formula>
    </cfRule>
    <cfRule type="expression" dxfId="9" priority="15">
      <formula>AND($Q$32&gt;$Q$30,$T$33&gt;$T$35,$W$39&lt;$W$41)</formula>
    </cfRule>
    <cfRule type="expression" dxfId="8" priority="16">
      <formula>AND($Q$30&gt;$Q$32,$T$33&gt;$T$35,$W$39&lt;$W$41)</formula>
    </cfRule>
  </conditionalFormatting>
  <conditionalFormatting sqref="Y29:Y30">
    <cfRule type="expression" dxfId="7" priority="1">
      <formula>AND($Q$50&gt;$Q$48,$T$47&gt;$T$45,$W$41&gt;$W$39)</formula>
    </cfRule>
    <cfRule type="expression" dxfId="6" priority="2">
      <formula>AND($Q$48&gt;$Q$50,$T$47&gt;$T$45,$W$41&gt;$W$39)</formula>
    </cfRule>
    <cfRule type="expression" dxfId="5" priority="3">
      <formula>AND($Q$44&gt;$Q$42,$T$45&gt;$T$47,$W$41&gt;$W$39)</formula>
    </cfRule>
    <cfRule type="expression" dxfId="4" priority="4">
      <formula>AND($Q$42&gt;$Q$44,$T$45&gt;$T$47,$W$41&gt;$W$39)</formula>
    </cfRule>
    <cfRule type="expression" dxfId="3" priority="5">
      <formula>AND($Q$38&gt;$Q$36,$T$35&gt;$T$33,$W$39&gt;$W$41)</formula>
    </cfRule>
    <cfRule type="expression" dxfId="2" priority="6">
      <formula>AND($Q$36&gt;$Q$38,$T$35&gt;$T$33,$W$39&gt;$W$41)</formula>
    </cfRule>
    <cfRule type="expression" dxfId="1" priority="7">
      <formula>AND($Q$32&gt;$Q$30,$T$33&gt;$T$35,$W$39&gt;$W$41)</formula>
    </cfRule>
    <cfRule type="expression" dxfId="0" priority="8">
      <formula>AND($Q$30&gt;$Q$32,$T$33&gt;$T$35,$W$39&gt;$W$41)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</dc:creator>
  <cp:lastModifiedBy>Arthur</cp:lastModifiedBy>
  <dcterms:created xsi:type="dcterms:W3CDTF">2014-06-23T20:59:34Z</dcterms:created>
  <dcterms:modified xsi:type="dcterms:W3CDTF">2014-10-27T18:47:09Z</dcterms:modified>
</cp:coreProperties>
</file>