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customXml/itemProps4.xml" ContentType="application/vnd.openxmlformats-officedocument.customXm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codeName="ThisWorkbook"/>
  <bookViews>
    <workbookView xWindow="0" yWindow="0" windowWidth="19200" windowHeight="6765" tabRatio="799"/>
  </bookViews>
  <sheets>
    <sheet name="Tableau des Matches" sheetId="2" r:id="rId1"/>
    <sheet name="Carte des Buts" sheetId="4" r:id="rId2"/>
  </sheets>
  <definedNames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3000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2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_xlnm.Print_Area" localSheetId="0">'Tableau des Matches'!$A$2:$AC$69</definedName>
  </definedNames>
  <calcPr calcId="124519" iterateDelta="1E-4"/>
</workbook>
</file>

<file path=xl/calcChain.xml><?xml version="1.0" encoding="utf-8"?>
<calcChain xmlns="http://schemas.openxmlformats.org/spreadsheetml/2006/main">
  <c r="E9" i="4"/>
  <c r="FB39" i="2"/>
  <c r="FB40"/>
  <c r="FA40"/>
  <c r="FA39"/>
  <c r="G37"/>
  <c r="D37"/>
  <c r="G36"/>
  <c r="D36"/>
  <c r="G35"/>
  <c r="D35"/>
  <c r="G34"/>
  <c r="D34"/>
  <c r="G29"/>
  <c r="D29"/>
  <c r="G28"/>
  <c r="D28"/>
  <c r="G27"/>
  <c r="D27"/>
  <c r="G26"/>
  <c r="D26"/>
  <c r="G21"/>
  <c r="D21"/>
  <c r="G20"/>
  <c r="D20"/>
  <c r="G19"/>
  <c r="D19"/>
  <c r="G18"/>
  <c r="D18"/>
  <c r="G13"/>
  <c r="D13"/>
  <c r="G12"/>
  <c r="D12"/>
  <c r="G11"/>
  <c r="D11"/>
  <c r="G10"/>
  <c r="D10"/>
  <c r="C15" i="4" l="1"/>
  <c r="C11"/>
  <c r="C7"/>
  <c r="C3"/>
  <c r="X26" i="2"/>
  <c r="X33"/>
  <c r="X32"/>
  <c r="X31"/>
  <c r="X30"/>
  <c r="X29"/>
  <c r="X28"/>
  <c r="X27"/>
  <c r="AM57"/>
  <c r="AO57"/>
  <c r="AP57"/>
  <c r="AS57"/>
  <c r="AR58"/>
  <c r="AT57"/>
  <c r="AR59"/>
  <c r="AU57"/>
  <c r="AM58"/>
  <c r="AO58"/>
  <c r="AP58"/>
  <c r="AU58"/>
  <c r="AM59"/>
  <c r="AO59"/>
  <c r="AP59"/>
  <c r="AS59"/>
  <c r="AT58"/>
  <c r="AU59"/>
  <c r="AQ57"/>
  <c r="BC58"/>
  <c r="BC59"/>
  <c r="AN58"/>
  <c r="AQ59"/>
  <c r="AN57"/>
  <c r="AN59"/>
  <c r="AQ58"/>
  <c r="BA58"/>
  <c r="AZ58"/>
  <c r="BA57"/>
  <c r="AZ57"/>
  <c r="BB59"/>
  <c r="AZ59"/>
  <c r="BB57"/>
  <c r="AW57"/>
  <c r="AX57"/>
  <c r="AV59"/>
  <c r="AX58"/>
  <c r="AV58"/>
  <c r="AW59"/>
  <c r="BW7"/>
  <c r="N8"/>
  <c r="I9"/>
  <c r="AM9"/>
  <c r="E3" i="4" s="1"/>
  <c r="AO9" i="2"/>
  <c r="F3" i="4" s="1"/>
  <c r="AP9" i="2"/>
  <c r="G3" i="4" s="1"/>
  <c r="AS9" i="2"/>
  <c r="AR10" s="1"/>
  <c r="AT9"/>
  <c r="AR11" s="1"/>
  <c r="AU9"/>
  <c r="AM10"/>
  <c r="E4" i="4" s="1"/>
  <c r="AO10" i="2"/>
  <c r="F4" i="4" s="1"/>
  <c r="AP10" i="2"/>
  <c r="G4" i="4" s="1"/>
  <c r="AU10" i="2"/>
  <c r="AS12" s="1"/>
  <c r="AM11"/>
  <c r="E5" i="4" s="1"/>
  <c r="AO11" i="2"/>
  <c r="F5" i="4" s="1"/>
  <c r="AP11" i="2"/>
  <c r="G5" i="4" s="1"/>
  <c r="AS11" i="2"/>
  <c r="AT10" s="1"/>
  <c r="BC10" s="1"/>
  <c r="AU11"/>
  <c r="AT12" s="1"/>
  <c r="AM12"/>
  <c r="E6" i="4" s="1"/>
  <c r="AO12" i="2"/>
  <c r="F6" i="4" s="1"/>
  <c r="AP12" i="2"/>
  <c r="G6" i="4" s="1"/>
  <c r="N16" i="2"/>
  <c r="I17"/>
  <c r="AM17"/>
  <c r="E7" i="4" s="1"/>
  <c r="AO17" i="2"/>
  <c r="F7" i="4" s="1"/>
  <c r="AP17" i="2"/>
  <c r="G7" i="4" s="1"/>
  <c r="AS17" i="2"/>
  <c r="AR18" s="1"/>
  <c r="AT17"/>
  <c r="AR19" s="1"/>
  <c r="AU17"/>
  <c r="AM18"/>
  <c r="E8" i="4" s="1"/>
  <c r="AO18" i="2"/>
  <c r="F8" i="4" s="1"/>
  <c r="AP18" i="2"/>
  <c r="G8" i="4" s="1"/>
  <c r="AU18" i="2"/>
  <c r="AS20" s="1"/>
  <c r="AM19"/>
  <c r="AO19"/>
  <c r="F9" i="4" s="1"/>
  <c r="AP19" i="2"/>
  <c r="G9" i="4" s="1"/>
  <c r="AS19" i="2"/>
  <c r="AT18" s="1"/>
  <c r="BC18" s="1"/>
  <c r="AU19"/>
  <c r="AT20" s="1"/>
  <c r="AM20"/>
  <c r="E10" i="4" s="1"/>
  <c r="AO20" i="2"/>
  <c r="F10" i="4" s="1"/>
  <c r="AP20" i="2"/>
  <c r="G10" i="4" s="1"/>
  <c r="N24" i="2"/>
  <c r="I25"/>
  <c r="AM25"/>
  <c r="E11" i="4" s="1"/>
  <c r="AO25" i="2"/>
  <c r="F11" i="4" s="1"/>
  <c r="AP25" i="2"/>
  <c r="G11" i="4" s="1"/>
  <c r="AS25" i="2"/>
  <c r="AT25"/>
  <c r="AZ25" s="1"/>
  <c r="AU25"/>
  <c r="AM26"/>
  <c r="E12" i="4" s="1"/>
  <c r="AO26" i="2"/>
  <c r="F12" i="4" s="1"/>
  <c r="AP26" i="2"/>
  <c r="G12" i="4" s="1"/>
  <c r="AR26" i="2"/>
  <c r="AU26"/>
  <c r="AS28" s="1"/>
  <c r="AM27"/>
  <c r="E13" i="4"/>
  <c r="AO27" i="2"/>
  <c r="F13" i="4" s="1"/>
  <c r="AP27" i="2"/>
  <c r="G13" i="4" s="1"/>
  <c r="AS27" i="2"/>
  <c r="AT26" s="1"/>
  <c r="AU27"/>
  <c r="AM28"/>
  <c r="E14" i="4" s="1"/>
  <c r="AO28" i="2"/>
  <c r="F14" i="4" s="1"/>
  <c r="AP28" i="2"/>
  <c r="G14" i="4" s="1"/>
  <c r="N32" i="2"/>
  <c r="I33"/>
  <c r="AM33"/>
  <c r="E15" i="4" s="1"/>
  <c r="AO33" i="2"/>
  <c r="F15" i="4" s="1"/>
  <c r="AP33" i="2"/>
  <c r="G15" i="4" s="1"/>
  <c r="AS33" i="2"/>
  <c r="AR34" s="1"/>
  <c r="AT33"/>
  <c r="AR35" s="1"/>
  <c r="AU33"/>
  <c r="AR36" s="1"/>
  <c r="AM34"/>
  <c r="E16" i="4" s="1"/>
  <c r="AO34" i="2"/>
  <c r="F16" i="4" s="1"/>
  <c r="AP34" i="2"/>
  <c r="G16" i="4" s="1"/>
  <c r="AU34" i="2"/>
  <c r="AS36" s="1"/>
  <c r="AM35"/>
  <c r="E17" i="4" s="1"/>
  <c r="AO35" i="2"/>
  <c r="F17" i="4" s="1"/>
  <c r="AP35" i="2"/>
  <c r="G17" i="4" s="1"/>
  <c r="AS35" i="2"/>
  <c r="AT34" s="1"/>
  <c r="AU35"/>
  <c r="AT36" s="1"/>
  <c r="AM36"/>
  <c r="E18" i="4" s="1"/>
  <c r="AO36" i="2"/>
  <c r="F18" i="4" s="1"/>
  <c r="AP36" i="2"/>
  <c r="G18" i="4" s="1"/>
  <c r="AM41" i="2"/>
  <c r="AO41"/>
  <c r="AP41"/>
  <c r="AS41"/>
  <c r="AR42"/>
  <c r="AT41"/>
  <c r="AR43"/>
  <c r="AU41"/>
  <c r="AR44"/>
  <c r="AM42"/>
  <c r="AO42"/>
  <c r="AP42"/>
  <c r="AU42"/>
  <c r="AS44"/>
  <c r="AM43"/>
  <c r="AO43"/>
  <c r="AP43"/>
  <c r="AS43"/>
  <c r="AT42"/>
  <c r="AU43"/>
  <c r="AT44"/>
  <c r="AM44"/>
  <c r="AO44"/>
  <c r="AP44"/>
  <c r="AM49"/>
  <c r="AO49"/>
  <c r="AP49"/>
  <c r="AS49"/>
  <c r="AR50"/>
  <c r="AT49"/>
  <c r="AR51"/>
  <c r="AU49"/>
  <c r="AR52"/>
  <c r="AM50"/>
  <c r="AO50"/>
  <c r="AP50"/>
  <c r="AU50"/>
  <c r="AS52"/>
  <c r="AM51"/>
  <c r="AO51"/>
  <c r="AP51"/>
  <c r="AS51"/>
  <c r="AT50"/>
  <c r="AU51"/>
  <c r="AT52"/>
  <c r="BB52" s="1"/>
  <c r="AM52"/>
  <c r="AO52"/>
  <c r="AP52"/>
  <c r="AM60"/>
  <c r="AO60"/>
  <c r="AP60"/>
  <c r="AR60"/>
  <c r="AS60"/>
  <c r="BA60" s="1"/>
  <c r="AM65"/>
  <c r="AO65"/>
  <c r="AP65"/>
  <c r="AS65"/>
  <c r="AR66"/>
  <c r="AT65"/>
  <c r="AR67"/>
  <c r="AU65"/>
  <c r="AR68"/>
  <c r="AM66"/>
  <c r="AO66"/>
  <c r="AP66"/>
  <c r="AU66"/>
  <c r="AS68"/>
  <c r="AM67"/>
  <c r="AO67"/>
  <c r="AP67"/>
  <c r="AS67"/>
  <c r="AZ67" s="1"/>
  <c r="AT66"/>
  <c r="AU67"/>
  <c r="AT68"/>
  <c r="AM68"/>
  <c r="AO68"/>
  <c r="AP68"/>
  <c r="BC51"/>
  <c r="AZ65"/>
  <c r="BB49"/>
  <c r="AZ49"/>
  <c r="BA65"/>
  <c r="AQ50"/>
  <c r="BB43"/>
  <c r="AQ49"/>
  <c r="BA49"/>
  <c r="BA50"/>
  <c r="BC44"/>
  <c r="BA44"/>
  <c r="BB41"/>
  <c r="AQ27"/>
  <c r="BB25"/>
  <c r="AR20"/>
  <c r="BC19"/>
  <c r="BB9"/>
  <c r="AZ9"/>
  <c r="AZ33"/>
  <c r="AQ35"/>
  <c r="AR28"/>
  <c r="AT28"/>
  <c r="AQ68"/>
  <c r="AQ65"/>
  <c r="AQ41"/>
  <c r="AQ33"/>
  <c r="AQ25"/>
  <c r="AQ20"/>
  <c r="BA17"/>
  <c r="AQ67"/>
  <c r="AX68" s="1"/>
  <c r="BA66"/>
  <c r="BB65"/>
  <c r="AQ51"/>
  <c r="BC43"/>
  <c r="BC35"/>
  <c r="BA68"/>
  <c r="AQ66"/>
  <c r="AT60"/>
  <c r="BC60" s="1"/>
  <c r="AQ52"/>
  <c r="AQ43"/>
  <c r="BA42"/>
  <c r="BA41"/>
  <c r="BC68"/>
  <c r="BB68"/>
  <c r="BC67"/>
  <c r="AQ60"/>
  <c r="AV60" s="1"/>
  <c r="AQ44"/>
  <c r="AQ42"/>
  <c r="AQ34"/>
  <c r="BA25"/>
  <c r="BC27"/>
  <c r="AQ26"/>
  <c r="AQ10"/>
  <c r="BC11"/>
  <c r="AQ11"/>
  <c r="AR12"/>
  <c r="AQ12"/>
  <c r="BA9"/>
  <c r="AQ9"/>
  <c r="AN51"/>
  <c r="BB51"/>
  <c r="AZ51"/>
  <c r="AN67"/>
  <c r="BB67"/>
  <c r="BA52"/>
  <c r="BC52"/>
  <c r="AN44"/>
  <c r="AN43"/>
  <c r="AN41"/>
  <c r="AN25"/>
  <c r="AN9"/>
  <c r="AN68"/>
  <c r="AN65"/>
  <c r="AN52"/>
  <c r="AN49"/>
  <c r="BB44"/>
  <c r="AZ43"/>
  <c r="AZ41"/>
  <c r="AN33"/>
  <c r="AN17"/>
  <c r="AZ66"/>
  <c r="BC66"/>
  <c r="AZ50"/>
  <c r="BC50"/>
  <c r="AZ42"/>
  <c r="BC42"/>
  <c r="AN66"/>
  <c r="AN50"/>
  <c r="AN42"/>
  <c r="AY66"/>
  <c r="AX60"/>
  <c r="AW33"/>
  <c r="AW68"/>
  <c r="AV44"/>
  <c r="AY67"/>
  <c r="AX66"/>
  <c r="AV68"/>
  <c r="AW67"/>
  <c r="AY49"/>
  <c r="AV50"/>
  <c r="AW52"/>
  <c r="AW49"/>
  <c r="AY43"/>
  <c r="AY9"/>
  <c r="AV66"/>
  <c r="AV67"/>
  <c r="AN60"/>
  <c r="BH57" s="1"/>
  <c r="AW60"/>
  <c r="AY59"/>
  <c r="AY57"/>
  <c r="AY58"/>
  <c r="AY50"/>
  <c r="AV43"/>
  <c r="AX26"/>
  <c r="AX49"/>
  <c r="AV51"/>
  <c r="AX41"/>
  <c r="AV12"/>
  <c r="AW9"/>
  <c r="AV42"/>
  <c r="AW41"/>
  <c r="AX42"/>
  <c r="AX50"/>
  <c r="AY51"/>
  <c r="AW51"/>
  <c r="AW27"/>
  <c r="AW44"/>
  <c r="AW65"/>
  <c r="AX65"/>
  <c r="AV35"/>
  <c r="BB60"/>
  <c r="AV52"/>
  <c r="AX52"/>
  <c r="AY65"/>
  <c r="AW35"/>
  <c r="AX33"/>
  <c r="BB28"/>
  <c r="AX25"/>
  <c r="AW12"/>
  <c r="AX10"/>
  <c r="AW11"/>
  <c r="AY10"/>
  <c r="AV10"/>
  <c r="AY11"/>
  <c r="AX12"/>
  <c r="AX9"/>
  <c r="AV11"/>
  <c r="AX44"/>
  <c r="AY42"/>
  <c r="AW43"/>
  <c r="AY41"/>
  <c r="BH41"/>
  <c r="BH49"/>
  <c r="BH65"/>
  <c r="BI65" s="1"/>
  <c r="BI49"/>
  <c r="BJ49"/>
  <c r="BK49"/>
  <c r="BL49"/>
  <c r="BI41"/>
  <c r="BJ41"/>
  <c r="BK41"/>
  <c r="BL41"/>
  <c r="BN41"/>
  <c r="BV41" s="1"/>
  <c r="BF41" s="1"/>
  <c r="BD43" s="1"/>
  <c r="BM49"/>
  <c r="BU49" s="1"/>
  <c r="BE49" s="1"/>
  <c r="BQ49"/>
  <c r="BW50" s="1"/>
  <c r="BG50" s="1"/>
  <c r="BE52" s="1"/>
  <c r="BP41"/>
  <c r="BV42"/>
  <c r="BF42" s="1"/>
  <c r="BE43" s="1"/>
  <c r="BR49"/>
  <c r="BW51"/>
  <c r="BG51" s="1"/>
  <c r="BF52" s="1"/>
  <c r="BR41"/>
  <c r="BW43" s="1"/>
  <c r="BG43" s="1"/>
  <c r="BF44" s="1"/>
  <c r="BM41"/>
  <c r="BU41" s="1"/>
  <c r="BE41" s="1"/>
  <c r="BO49"/>
  <c r="BW49" s="1"/>
  <c r="BG49" s="1"/>
  <c r="BD52" s="1"/>
  <c r="AL52" s="1"/>
  <c r="BN49"/>
  <c r="BV49" s="1"/>
  <c r="BF49" s="1"/>
  <c r="BD51" s="1"/>
  <c r="BQ41"/>
  <c r="BW42" s="1"/>
  <c r="BG42" s="1"/>
  <c r="BE44" s="1"/>
  <c r="BO41"/>
  <c r="BW41" s="1"/>
  <c r="BG41" s="1"/>
  <c r="BD44" s="1"/>
  <c r="BP49"/>
  <c r="BV50" s="1"/>
  <c r="BF50" s="1"/>
  <c r="BE51" s="1"/>
  <c r="BS49" a="1"/>
  <c r="BS49" s="1"/>
  <c r="BS41" a="1"/>
  <c r="BS41" s="1"/>
  <c r="AQ19" l="1"/>
  <c r="AQ18"/>
  <c r="AZ17"/>
  <c r="AQ17"/>
  <c r="BB17"/>
  <c r="BL65"/>
  <c r="BJ65"/>
  <c r="AV27"/>
  <c r="AV34"/>
  <c r="BB20"/>
  <c r="BC26"/>
  <c r="AN26"/>
  <c r="BC28"/>
  <c r="BC36"/>
  <c r="AX34"/>
  <c r="BB33"/>
  <c r="AQ36"/>
  <c r="AY34" s="1"/>
  <c r="BA33"/>
  <c r="BC34"/>
  <c r="BA26"/>
  <c r="H13" i="4"/>
  <c r="BA36" i="2"/>
  <c r="BB36"/>
  <c r="AN36"/>
  <c r="AN34"/>
  <c r="BA34"/>
  <c r="AZ34"/>
  <c r="AN35"/>
  <c r="AZ35"/>
  <c r="BB35"/>
  <c r="AR27"/>
  <c r="AN28"/>
  <c r="BC20"/>
  <c r="AN20"/>
  <c r="BA20"/>
  <c r="BA18"/>
  <c r="AN18"/>
  <c r="AZ18"/>
  <c r="AZ19"/>
  <c r="AN19"/>
  <c r="BB19"/>
  <c r="BA12"/>
  <c r="BC12"/>
  <c r="AN12"/>
  <c r="BB12"/>
  <c r="H6" i="4"/>
  <c r="H17"/>
  <c r="AV26" i="2"/>
  <c r="AW25"/>
  <c r="AZ26"/>
  <c r="AQ28"/>
  <c r="BA28"/>
  <c r="H4" i="4"/>
  <c r="AZ10" i="2"/>
  <c r="AN10"/>
  <c r="BA10"/>
  <c r="BB11"/>
  <c r="AN11"/>
  <c r="AZ11"/>
  <c r="H14" i="4"/>
  <c r="H11"/>
  <c r="H9"/>
  <c r="BM65" i="2"/>
  <c r="BU65" s="1"/>
  <c r="BE65" s="1"/>
  <c r="BP65"/>
  <c r="BV66" s="1"/>
  <c r="BF66" s="1"/>
  <c r="BE67" s="1"/>
  <c r="AL44"/>
  <c r="BK65"/>
  <c r="BD42"/>
  <c r="AL42" s="1"/>
  <c r="AL41"/>
  <c r="BD50"/>
  <c r="AL50" s="1"/>
  <c r="AL49"/>
  <c r="BJ57"/>
  <c r="BK57"/>
  <c r="BI57"/>
  <c r="BL57"/>
  <c r="BQ57" s="1"/>
  <c r="BW58" s="1"/>
  <c r="BG58" s="1"/>
  <c r="BE60" s="1"/>
  <c r="BM57"/>
  <c r="BU57" s="1"/>
  <c r="BE57" s="1"/>
  <c r="AL51"/>
  <c r="BD66"/>
  <c r="AL43"/>
  <c r="H15" i="4"/>
  <c r="H18"/>
  <c r="H16"/>
  <c r="H12"/>
  <c r="H7"/>
  <c r="H10"/>
  <c r="H8"/>
  <c r="H3"/>
  <c r="H5"/>
  <c r="AX20" i="2" l="1"/>
  <c r="AY19"/>
  <c r="AV19"/>
  <c r="AY17"/>
  <c r="AV20"/>
  <c r="AV18"/>
  <c r="AW17"/>
  <c r="AX17"/>
  <c r="AW20"/>
  <c r="AX18"/>
  <c r="AW19"/>
  <c r="AY18"/>
  <c r="BP57"/>
  <c r="BV58" s="1"/>
  <c r="BF58" s="1"/>
  <c r="BE59" s="1"/>
  <c r="BQ65"/>
  <c r="BW66" s="1"/>
  <c r="BG66" s="1"/>
  <c r="BE68" s="1"/>
  <c r="BO57"/>
  <c r="BW57" s="1"/>
  <c r="BG57" s="1"/>
  <c r="BD60" s="1"/>
  <c r="AV36"/>
  <c r="AX36"/>
  <c r="AY33"/>
  <c r="AW36"/>
  <c r="AY35"/>
  <c r="BH33"/>
  <c r="BB27"/>
  <c r="AN27"/>
  <c r="AZ27"/>
  <c r="BH25"/>
  <c r="BH17"/>
  <c r="AW28"/>
  <c r="AX28"/>
  <c r="AV28"/>
  <c r="AY25"/>
  <c r="AY26"/>
  <c r="AY27"/>
  <c r="BH9"/>
  <c r="BR65"/>
  <c r="BW67" s="1"/>
  <c r="BG67" s="1"/>
  <c r="BF68" s="1"/>
  <c r="BO65"/>
  <c r="BW65" s="1"/>
  <c r="BG65" s="1"/>
  <c r="BD68" s="1"/>
  <c r="BN65"/>
  <c r="BV65" s="1"/>
  <c r="BF65" s="1"/>
  <c r="BD58"/>
  <c r="AL58" s="1"/>
  <c r="BR57"/>
  <c r="BW59" s="1"/>
  <c r="BG59" s="1"/>
  <c r="BF60" s="1"/>
  <c r="AL60" s="1"/>
  <c r="AK49"/>
  <c r="AK50"/>
  <c r="AK51"/>
  <c r="AK52"/>
  <c r="AK42"/>
  <c r="AK41"/>
  <c r="AK44"/>
  <c r="AK43"/>
  <c r="BN57"/>
  <c r="BV57" s="1"/>
  <c r="BF57" s="1"/>
  <c r="BD59" s="1"/>
  <c r="AL66" l="1"/>
  <c r="AL59"/>
  <c r="BS65" a="1"/>
  <c r="BS65" s="1"/>
  <c r="BS57" a="1"/>
  <c r="BJ33"/>
  <c r="BI33"/>
  <c r="BL33"/>
  <c r="BK33"/>
  <c r="BM33"/>
  <c r="BU33" s="1"/>
  <c r="BE33" s="1"/>
  <c r="BJ25"/>
  <c r="BK25"/>
  <c r="BL25"/>
  <c r="BQ25" s="1"/>
  <c r="BW26" s="1"/>
  <c r="BG26" s="1"/>
  <c r="BE28" s="1"/>
  <c r="BI25"/>
  <c r="BR25"/>
  <c r="BW27" s="1"/>
  <c r="BG27" s="1"/>
  <c r="BF28" s="1"/>
  <c r="BJ17"/>
  <c r="BL17"/>
  <c r="BQ17" s="1"/>
  <c r="BW18" s="1"/>
  <c r="BG18" s="1"/>
  <c r="BE20" s="1"/>
  <c r="BI17"/>
  <c r="BM17" s="1"/>
  <c r="BU17" s="1"/>
  <c r="BE17" s="1"/>
  <c r="BK17"/>
  <c r="BR17" s="1"/>
  <c r="BW19" s="1"/>
  <c r="BG19" s="1"/>
  <c r="BF20" s="1"/>
  <c r="BI9"/>
  <c r="BK9"/>
  <c r="BJ9"/>
  <c r="BL9"/>
  <c r="BR9" s="1"/>
  <c r="BW11" s="1"/>
  <c r="BG11" s="1"/>
  <c r="BF12" s="1"/>
  <c r="BM9"/>
  <c r="BO9"/>
  <c r="BW9" s="1"/>
  <c r="BG9" s="1"/>
  <c r="BD12" s="1"/>
  <c r="BD67"/>
  <c r="AL67" s="1"/>
  <c r="AL65"/>
  <c r="AL68"/>
  <c r="AJ43"/>
  <c r="AJ41"/>
  <c r="AJ52"/>
  <c r="AI50"/>
  <c r="AJ50"/>
  <c r="AL57"/>
  <c r="AJ44"/>
  <c r="AI42"/>
  <c r="AJ42"/>
  <c r="AJ51"/>
  <c r="AJ49"/>
  <c r="BS57"/>
  <c r="BO17" l="1"/>
  <c r="BW17" s="1"/>
  <c r="BG17" s="1"/>
  <c r="BD20" s="1"/>
  <c r="AL20" s="1"/>
  <c r="BP25"/>
  <c r="BV26" s="1"/>
  <c r="BF26" s="1"/>
  <c r="BE27" s="1"/>
  <c r="BO25"/>
  <c r="BW25" s="1"/>
  <c r="BG25" s="1"/>
  <c r="BD28" s="1"/>
  <c r="AL28" s="1"/>
  <c r="BN33"/>
  <c r="BS33" s="1" a="1"/>
  <c r="BR33"/>
  <c r="BW35" s="1"/>
  <c r="BG35" s="1"/>
  <c r="BF36" s="1"/>
  <c r="BO33"/>
  <c r="BW33" s="1"/>
  <c r="BG33" s="1"/>
  <c r="BD36" s="1"/>
  <c r="BQ33"/>
  <c r="BW34" s="1"/>
  <c r="BG34" s="1"/>
  <c r="BE36" s="1"/>
  <c r="AL36" s="1"/>
  <c r="BD34"/>
  <c r="BP33"/>
  <c r="BV34" s="1"/>
  <c r="BF34" s="1"/>
  <c r="BE35" s="1"/>
  <c r="BN25"/>
  <c r="BV25" s="1"/>
  <c r="BF25" s="1"/>
  <c r="BD27" s="1"/>
  <c r="AL27" s="1"/>
  <c r="BM25"/>
  <c r="BU25" s="1"/>
  <c r="BE25" s="1"/>
  <c r="BD18"/>
  <c r="BN17"/>
  <c r="BV17" s="1"/>
  <c r="BF17" s="1"/>
  <c r="BD19" s="1"/>
  <c r="BP17"/>
  <c r="BV18" s="1"/>
  <c r="BF18" s="1"/>
  <c r="BE19" s="1"/>
  <c r="BN9"/>
  <c r="BV9" s="1"/>
  <c r="BF9" s="1"/>
  <c r="BD11" s="1"/>
  <c r="BQ9"/>
  <c r="BW10" s="1"/>
  <c r="BG10" s="1"/>
  <c r="BE12" s="1"/>
  <c r="BP9"/>
  <c r="BV10" s="1"/>
  <c r="BF10" s="1"/>
  <c r="BE11" s="1"/>
  <c r="AL11" s="1"/>
  <c r="AL12"/>
  <c r="BU9"/>
  <c r="BE9" s="1"/>
  <c r="BU7"/>
  <c r="AK68"/>
  <c r="AK67"/>
  <c r="AK65"/>
  <c r="AJ65" s="1"/>
  <c r="AK66"/>
  <c r="AI51"/>
  <c r="AK57"/>
  <c r="AK59"/>
  <c r="AK58"/>
  <c r="AK60"/>
  <c r="AI43"/>
  <c r="AI52"/>
  <c r="BS25" l="1" a="1"/>
  <c r="BS25" s="1"/>
  <c r="BS17" a="1"/>
  <c r="BS9" a="1"/>
  <c r="BS9" s="1"/>
  <c r="BV33"/>
  <c r="BF33" s="1"/>
  <c r="BS33"/>
  <c r="AL34"/>
  <c r="BD26"/>
  <c r="AL26" s="1"/>
  <c r="AL25"/>
  <c r="AL19"/>
  <c r="AL18"/>
  <c r="BS17"/>
  <c r="AL17"/>
  <c r="BD10"/>
  <c r="AL10" s="1"/>
  <c r="AL9"/>
  <c r="AJ68"/>
  <c r="AI66"/>
  <c r="AJ66"/>
  <c r="AI67"/>
  <c r="AI68" s="1"/>
  <c r="AJ67"/>
  <c r="AI44"/>
  <c r="AJ58"/>
  <c r="AI58"/>
  <c r="AJ57"/>
  <c r="AJ60"/>
  <c r="AJ59"/>
  <c r="BD35" l="1"/>
  <c r="AL35" s="1"/>
  <c r="AL33"/>
  <c r="AK26"/>
  <c r="AK25"/>
  <c r="AK27"/>
  <c r="AK28"/>
  <c r="AK17"/>
  <c r="AK19"/>
  <c r="AK18"/>
  <c r="AK20"/>
  <c r="AK12"/>
  <c r="AK10"/>
  <c r="AK9"/>
  <c r="AK11"/>
  <c r="AI59"/>
  <c r="AI60"/>
  <c r="AK35" l="1"/>
  <c r="AK36"/>
  <c r="AK34"/>
  <c r="AK33"/>
  <c r="AJ27"/>
  <c r="L27"/>
  <c r="N27"/>
  <c r="M27"/>
  <c r="J27"/>
  <c r="K27"/>
  <c r="L26"/>
  <c r="AI26"/>
  <c r="I26" s="1"/>
  <c r="M26"/>
  <c r="J26"/>
  <c r="K26"/>
  <c r="N26"/>
  <c r="AJ26"/>
  <c r="N28"/>
  <c r="J28"/>
  <c r="L28"/>
  <c r="M28"/>
  <c r="AJ28"/>
  <c r="K28"/>
  <c r="N25"/>
  <c r="J25"/>
  <c r="L25"/>
  <c r="M25"/>
  <c r="AJ25"/>
  <c r="K25"/>
  <c r="J18"/>
  <c r="K18"/>
  <c r="AJ18"/>
  <c r="M18"/>
  <c r="N18"/>
  <c r="L18"/>
  <c r="AI18"/>
  <c r="I18" s="1"/>
  <c r="K17"/>
  <c r="L17"/>
  <c r="J17"/>
  <c r="AJ17"/>
  <c r="M17"/>
  <c r="N17"/>
  <c r="J20"/>
  <c r="K20"/>
  <c r="AJ20"/>
  <c r="N20"/>
  <c r="L20"/>
  <c r="M20"/>
  <c r="K19"/>
  <c r="AJ19"/>
  <c r="L19"/>
  <c r="J19"/>
  <c r="M19"/>
  <c r="N19"/>
  <c r="AI19"/>
  <c r="I19" s="1"/>
  <c r="L9"/>
  <c r="AJ9"/>
  <c r="M9"/>
  <c r="J9"/>
  <c r="K9"/>
  <c r="N9"/>
  <c r="K12"/>
  <c r="AJ12"/>
  <c r="N12"/>
  <c r="J12"/>
  <c r="M12"/>
  <c r="L12"/>
  <c r="N11"/>
  <c r="L11"/>
  <c r="M11"/>
  <c r="J11"/>
  <c r="K11"/>
  <c r="AJ11"/>
  <c r="AI10"/>
  <c r="I10" s="1"/>
  <c r="L10"/>
  <c r="N10"/>
  <c r="K10"/>
  <c r="J10"/>
  <c r="M10"/>
  <c r="AJ10"/>
  <c r="U8" l="1"/>
  <c r="U12"/>
  <c r="AI27"/>
  <c r="AI20"/>
  <c r="I20" s="1"/>
  <c r="AJ34"/>
  <c r="J34"/>
  <c r="K34"/>
  <c r="L34"/>
  <c r="M34"/>
  <c r="N34"/>
  <c r="AI34"/>
  <c r="I34" s="1"/>
  <c r="N35"/>
  <c r="K35"/>
  <c r="L35"/>
  <c r="M35"/>
  <c r="AJ35"/>
  <c r="J35"/>
  <c r="AI35"/>
  <c r="L33"/>
  <c r="K33"/>
  <c r="J33"/>
  <c r="M33"/>
  <c r="N33"/>
  <c r="AJ33"/>
  <c r="AJ36"/>
  <c r="J36"/>
  <c r="K36"/>
  <c r="L36"/>
  <c r="M36"/>
  <c r="N36"/>
  <c r="U10"/>
  <c r="AI28"/>
  <c r="I28" s="1"/>
  <c r="I27"/>
  <c r="J21"/>
  <c r="U9"/>
  <c r="AI11"/>
  <c r="U26" l="1"/>
  <c r="I35"/>
  <c r="AI36"/>
  <c r="I36" s="1"/>
  <c r="U14"/>
  <c r="U11"/>
  <c r="U27" s="1"/>
  <c r="J37"/>
  <c r="J29"/>
  <c r="U15"/>
  <c r="U29" s="1"/>
  <c r="I11"/>
  <c r="AI12"/>
  <c r="I12" s="1"/>
  <c r="U36" l="1"/>
  <c r="EZ39" s="1"/>
  <c r="U46" s="1"/>
  <c r="J13"/>
  <c r="U13"/>
  <c r="U28" s="1"/>
  <c r="U38" s="1"/>
  <c r="EZ40" s="1"/>
</calcChain>
</file>

<file path=xl/sharedStrings.xml><?xml version="1.0" encoding="utf-8"?>
<sst xmlns="http://schemas.openxmlformats.org/spreadsheetml/2006/main" count="556" uniqueCount="107">
  <si>
    <t>Groupe A</t>
  </si>
  <si>
    <t>Pen</t>
  </si>
  <si>
    <t>AJ</t>
  </si>
  <si>
    <t>AK</t>
  </si>
  <si>
    <t>AL</t>
  </si>
  <si>
    <t>AM</t>
  </si>
  <si>
    <t>AN</t>
  </si>
  <si>
    <t>AO</t>
  </si>
  <si>
    <t>AP</t>
  </si>
  <si>
    <t>AQ</t>
  </si>
  <si>
    <t>AR</t>
  </si>
  <si>
    <t>AS</t>
  </si>
  <si>
    <t>AT</t>
  </si>
  <si>
    <t>AU</t>
  </si>
  <si>
    <t>AV</t>
  </si>
  <si>
    <t>AW</t>
  </si>
  <si>
    <t>AX</t>
  </si>
  <si>
    <t>AY</t>
  </si>
  <si>
    <t>AZ</t>
  </si>
  <si>
    <t>BA</t>
  </si>
  <si>
    <t>BB</t>
  </si>
  <si>
    <t>BC</t>
  </si>
  <si>
    <t>BD</t>
  </si>
  <si>
    <t>BE</t>
  </si>
  <si>
    <t>BF</t>
  </si>
  <si>
    <t>BG</t>
  </si>
  <si>
    <t>BH</t>
  </si>
  <si>
    <t>BI</t>
  </si>
  <si>
    <t>BJ</t>
  </si>
  <si>
    <t>BK</t>
  </si>
  <si>
    <t>BL</t>
  </si>
  <si>
    <t>BM</t>
  </si>
  <si>
    <t>BN</t>
  </si>
  <si>
    <t>BO</t>
  </si>
  <si>
    <t>BP</t>
  </si>
  <si>
    <t>Pts</t>
  </si>
  <si>
    <t>Rank</t>
  </si>
  <si>
    <t>Team</t>
  </si>
  <si>
    <t>GF</t>
  </si>
  <si>
    <t>GA</t>
  </si>
  <si>
    <t>GD</t>
  </si>
  <si>
    <t>Ag1</t>
  </si>
  <si>
    <t>Ag2</t>
  </si>
  <si>
    <t>Ag3</t>
  </si>
  <si>
    <t>Ag4</t>
  </si>
  <si>
    <t>Sp1</t>
  </si>
  <si>
    <t>Sp2</t>
  </si>
  <si>
    <t>Sp3</t>
  </si>
  <si>
    <t>Sp4</t>
  </si>
  <si>
    <t>T123</t>
  </si>
  <si>
    <t>T124</t>
  </si>
  <si>
    <t>T134</t>
  </si>
  <si>
    <t>T234</t>
  </si>
  <si>
    <t>Rk1</t>
  </si>
  <si>
    <t>Rk2</t>
  </si>
  <si>
    <t>Rk3</t>
  </si>
  <si>
    <t>Rk4</t>
  </si>
  <si>
    <t>T1234</t>
  </si>
  <si>
    <t>T12</t>
  </si>
  <si>
    <t>T13</t>
  </si>
  <si>
    <t>T14</t>
  </si>
  <si>
    <t>T23</t>
  </si>
  <si>
    <t>T24</t>
  </si>
  <si>
    <t>T34</t>
  </si>
  <si>
    <t>NoT</t>
  </si>
  <si>
    <t>sRk1</t>
  </si>
  <si>
    <t>sRk2</t>
  </si>
  <si>
    <t>sRk3</t>
  </si>
  <si>
    <t>sRk4</t>
  </si>
  <si>
    <t>x</t>
  </si>
  <si>
    <t>Groupe B</t>
  </si>
  <si>
    <t>Groupe C</t>
  </si>
  <si>
    <t>Quarts de finale</t>
  </si>
  <si>
    <t>Groupe D</t>
  </si>
  <si>
    <t>Demi-finales</t>
  </si>
  <si>
    <t>Vainqueur</t>
  </si>
  <si>
    <t>Groupe</t>
  </si>
  <si>
    <t>Difficulté</t>
  </si>
  <si>
    <t>Class.</t>
  </si>
  <si>
    <t>Equipe</t>
  </si>
  <si>
    <t>Buts Pour</t>
  </si>
  <si>
    <t>Buts Contre</t>
  </si>
  <si>
    <t>Différence</t>
  </si>
  <si>
    <t>A</t>
  </si>
  <si>
    <t>B</t>
  </si>
  <si>
    <t>C</t>
  </si>
  <si>
    <t>D</t>
  </si>
  <si>
    <t>EQUATORIAL GUINEA</t>
  </si>
  <si>
    <t>CONGO</t>
  </si>
  <si>
    <t>BURKINA FASO</t>
  </si>
  <si>
    <t>GABON</t>
  </si>
  <si>
    <t>ZAMBIE</t>
  </si>
  <si>
    <t>RD CONGO</t>
  </si>
  <si>
    <t xml:space="preserve">TUNISIE </t>
  </si>
  <si>
    <t>CAP VERT</t>
  </si>
  <si>
    <t>GHANA</t>
  </si>
  <si>
    <t>SENEGAL</t>
  </si>
  <si>
    <t>ALGERIE</t>
  </si>
  <si>
    <t>AFRIQUE DE SUD</t>
  </si>
  <si>
    <t>COTE D'IVOIR</t>
  </si>
  <si>
    <t>GUINEA</t>
  </si>
  <si>
    <t xml:space="preserve">MALI </t>
  </si>
  <si>
    <t>CAMEROONE</t>
  </si>
  <si>
    <t>FINALE</t>
  </si>
  <si>
    <t>COMPION D'AFRIQUE</t>
  </si>
  <si>
    <t xml:space="preserve">Classification </t>
  </si>
  <si>
    <t>Coupe d'afrique 2015      - Guinée Equatoriale -</t>
  </si>
</sst>
</file>

<file path=xl/styles.xml><?xml version="1.0" encoding="utf-8"?>
<styleSheet xmlns="http://schemas.openxmlformats.org/spreadsheetml/2006/main">
  <numFmts count="1">
    <numFmt numFmtId="164" formatCode="0.0"/>
  </numFmts>
  <fonts count="30">
    <font>
      <sz val="10"/>
      <name val="Arial"/>
    </font>
    <font>
      <u/>
      <sz val="10"/>
      <color indexed="12"/>
      <name val="Arial"/>
      <family val="2"/>
    </font>
    <font>
      <sz val="8"/>
      <name val="Arial"/>
      <family val="2"/>
    </font>
    <font>
      <b/>
      <sz val="8"/>
      <color indexed="9"/>
      <name val="Arial"/>
      <family val="2"/>
    </font>
    <font>
      <sz val="12"/>
      <name val="Arial"/>
      <family val="2"/>
    </font>
    <font>
      <sz val="8"/>
      <color indexed="13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u/>
      <sz val="11"/>
      <color indexed="12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u/>
      <sz val="11"/>
      <color theme="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sz val="10"/>
      <color theme="0"/>
      <name val="Arial"/>
      <family val="2"/>
    </font>
    <font>
      <b/>
      <sz val="10"/>
      <color theme="0"/>
      <name val="Arial"/>
      <family val="2"/>
    </font>
    <font>
      <sz val="8"/>
      <color rgb="FFFF0000"/>
      <name val="Arial"/>
      <family val="2"/>
    </font>
    <font>
      <b/>
      <sz val="11"/>
      <color theme="0"/>
      <name val="Arial"/>
      <family val="2"/>
    </font>
    <font>
      <sz val="10"/>
      <name val="Arial"/>
      <family val="2"/>
      <charset val="1"/>
    </font>
    <font>
      <sz val="7"/>
      <name val="Verdana"/>
      <family val="2"/>
      <charset val="1"/>
    </font>
    <font>
      <sz val="8"/>
      <name val="Verdana"/>
      <family val="2"/>
      <charset val="1"/>
    </font>
    <font>
      <b/>
      <sz val="7"/>
      <color theme="0"/>
      <name val="Arial"/>
      <family val="2"/>
    </font>
    <font>
      <sz val="7"/>
      <color indexed="13"/>
      <name val="Arial"/>
      <family val="2"/>
    </font>
    <font>
      <sz val="7"/>
      <name val="Arial"/>
      <family val="2"/>
    </font>
    <font>
      <sz val="18"/>
      <color theme="0"/>
      <name val="Arial"/>
      <family val="2"/>
    </font>
    <font>
      <sz val="8"/>
      <color theme="1" tint="0.249977111117893"/>
      <name val="Arial"/>
      <family val="2"/>
    </font>
    <font>
      <sz val="48"/>
      <color theme="1" tint="0.34998626667073579"/>
      <name val="Arial"/>
      <family val="2"/>
    </font>
    <font>
      <sz val="28"/>
      <color theme="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20000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26"/>
      </patternFill>
    </fill>
    <fill>
      <patternFill patternType="solid">
        <fgColor theme="0" tint="-0.249977111117893"/>
        <bgColor indexed="26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249977111117893"/>
        <bgColor indexed="57"/>
      </patternFill>
    </fill>
    <fill>
      <patternFill patternType="solid">
        <fgColor rgb="FF007233"/>
        <bgColor indexed="64"/>
      </patternFill>
    </fill>
    <fill>
      <patternFill patternType="solid">
        <fgColor theme="0" tint="-0.34998626667073579"/>
        <bgColor indexed="31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  <xf numFmtId="0" fontId="20" fillId="0" borderId="0"/>
  </cellStyleXfs>
  <cellXfs count="216">
    <xf numFmtId="0" fontId="0" fillId="0" borderId="0" xfId="0"/>
    <xf numFmtId="0" fontId="0" fillId="2" borderId="0" xfId="0" applyFill="1"/>
    <xf numFmtId="0" fontId="17" fillId="3" borderId="0" xfId="0" applyNumberFormat="1" applyFont="1" applyFill="1" applyBorder="1" applyAlignment="1" applyProtection="1">
      <alignment horizontal="center" vertical="center"/>
      <protection locked="0"/>
    </xf>
    <xf numFmtId="0" fontId="17" fillId="2" borderId="16" xfId="0" applyFont="1" applyFill="1" applyBorder="1"/>
    <xf numFmtId="0" fontId="6" fillId="4" borderId="3" xfId="0" applyFont="1" applyFill="1" applyBorder="1" applyAlignment="1" applyProtection="1">
      <alignment horizontal="center" vertical="center"/>
      <protection locked="0"/>
    </xf>
    <xf numFmtId="0" fontId="2" fillId="4" borderId="4" xfId="0" applyFont="1" applyFill="1" applyBorder="1" applyAlignment="1" applyProtection="1">
      <alignment horizontal="center" vertical="center"/>
      <protection locked="0"/>
    </xf>
    <xf numFmtId="0" fontId="2" fillId="4" borderId="3" xfId="0" applyFont="1" applyFill="1" applyBorder="1" applyAlignment="1" applyProtection="1">
      <alignment horizontal="center" vertical="center"/>
      <protection locked="0"/>
    </xf>
    <xf numFmtId="0" fontId="2" fillId="5" borderId="4" xfId="0" applyFont="1" applyFill="1" applyBorder="1" applyAlignment="1" applyProtection="1">
      <alignment horizontal="center" vertical="center"/>
      <protection locked="0"/>
    </xf>
    <xf numFmtId="0" fontId="2" fillId="5" borderId="3" xfId="0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Protection="1">
      <protection locked="0"/>
    </xf>
    <xf numFmtId="0" fontId="2" fillId="4" borderId="0" xfId="0" applyFont="1" applyFill="1" applyBorder="1" applyProtection="1">
      <protection locked="0"/>
    </xf>
    <xf numFmtId="20" fontId="2" fillId="4" borderId="0" xfId="0" applyNumberFormat="1" applyFont="1" applyFill="1" applyBorder="1" applyProtection="1">
      <protection locked="0"/>
    </xf>
    <xf numFmtId="0" fontId="2" fillId="4" borderId="0" xfId="0" applyFont="1" applyFill="1" applyAlignment="1" applyProtection="1">
      <alignment horizontal="center"/>
      <protection locked="0"/>
    </xf>
    <xf numFmtId="0" fontId="2" fillId="4" borderId="0" xfId="0" applyFont="1" applyFill="1" applyBorder="1" applyAlignment="1" applyProtection="1">
      <alignment horizontal="right"/>
      <protection locked="0"/>
    </xf>
    <xf numFmtId="0" fontId="2" fillId="4" borderId="0" xfId="0" applyFont="1" applyFill="1" applyProtection="1">
      <protection hidden="1"/>
    </xf>
    <xf numFmtId="0" fontId="8" fillId="4" borderId="0" xfId="0" applyFont="1" applyFill="1" applyAlignment="1" applyProtection="1">
      <alignment vertical="top"/>
      <protection locked="0"/>
    </xf>
    <xf numFmtId="0" fontId="1" fillId="4" borderId="0" xfId="1" applyFont="1" applyFill="1" applyAlignment="1" applyProtection="1">
      <protection hidden="1"/>
    </xf>
    <xf numFmtId="0" fontId="2" fillId="4" borderId="0" xfId="0" quotePrefix="1" applyFont="1" applyFill="1" applyProtection="1">
      <protection hidden="1"/>
    </xf>
    <xf numFmtId="0" fontId="2" fillId="4" borderId="0" xfId="0" quotePrefix="1" applyFont="1" applyFill="1" applyAlignment="1" applyProtection="1">
      <alignment horizontal="center"/>
      <protection hidden="1"/>
    </xf>
    <xf numFmtId="0" fontId="2" fillId="4" borderId="0" xfId="0" applyFont="1" applyFill="1" applyAlignment="1" applyProtection="1">
      <alignment horizontal="center"/>
      <protection hidden="1"/>
    </xf>
    <xf numFmtId="0" fontId="2" fillId="4" borderId="0" xfId="0" applyFont="1" applyFill="1" applyAlignment="1" applyProtection="1">
      <protection hidden="1"/>
    </xf>
    <xf numFmtId="0" fontId="2" fillId="4" borderId="0" xfId="0" applyFont="1" applyFill="1" applyBorder="1" applyProtection="1">
      <protection hidden="1"/>
    </xf>
    <xf numFmtId="0" fontId="2" fillId="4" borderId="0" xfId="0" applyFont="1" applyFill="1" applyAlignment="1" applyProtection="1">
      <alignment vertical="center"/>
      <protection locked="0"/>
    </xf>
    <xf numFmtId="0" fontId="13" fillId="4" borderId="0" xfId="1" applyFont="1" applyFill="1" applyAlignment="1" applyProtection="1">
      <alignment horizontal="left" vertical="center"/>
      <protection locked="0"/>
    </xf>
    <xf numFmtId="0" fontId="13" fillId="4" borderId="0" xfId="1" applyFont="1" applyFill="1" applyAlignment="1" applyProtection="1">
      <alignment horizontal="left"/>
      <protection locked="0"/>
    </xf>
    <xf numFmtId="0" fontId="10" fillId="4" borderId="0" xfId="1" applyFont="1" applyFill="1" applyAlignment="1" applyProtection="1">
      <alignment horizontal="left"/>
      <protection locked="0"/>
    </xf>
    <xf numFmtId="0" fontId="12" fillId="4" borderId="14" xfId="0" applyNumberFormat="1" applyFont="1" applyFill="1" applyBorder="1" applyAlignment="1" applyProtection="1">
      <alignment vertical="center"/>
      <protection locked="0"/>
    </xf>
    <xf numFmtId="0" fontId="3" fillId="4" borderId="7" xfId="0" applyFont="1" applyFill="1" applyBorder="1" applyAlignment="1" applyProtection="1">
      <alignment horizontal="center" vertical="center"/>
      <protection hidden="1"/>
    </xf>
    <xf numFmtId="0" fontId="3" fillId="4" borderId="3" xfId="0" applyFont="1" applyFill="1" applyBorder="1" applyAlignment="1" applyProtection="1">
      <alignment horizontal="center" vertical="center"/>
      <protection hidden="1"/>
    </xf>
    <xf numFmtId="0" fontId="3" fillId="4" borderId="6" xfId="0" applyFont="1" applyFill="1" applyBorder="1" applyAlignment="1" applyProtection="1">
      <alignment horizontal="center" vertical="center"/>
      <protection hidden="1"/>
    </xf>
    <xf numFmtId="0" fontId="3" fillId="4" borderId="4" xfId="0" applyFont="1" applyFill="1" applyBorder="1" applyAlignment="1" applyProtection="1">
      <alignment horizontal="center" vertical="center"/>
      <protection hidden="1"/>
    </xf>
    <xf numFmtId="1" fontId="2" fillId="4" borderId="1" xfId="0" applyNumberFormat="1" applyFont="1" applyFill="1" applyBorder="1" applyAlignment="1" applyProtection="1">
      <alignment horizontal="center" vertical="center"/>
      <protection locked="0"/>
    </xf>
    <xf numFmtId="0" fontId="5" fillId="4" borderId="14" xfId="0" applyFont="1" applyFill="1" applyBorder="1" applyAlignment="1" applyProtection="1">
      <alignment vertical="center"/>
      <protection locked="0"/>
    </xf>
    <xf numFmtId="0" fontId="5" fillId="4" borderId="1" xfId="0" applyFont="1" applyFill="1" applyBorder="1" applyAlignment="1" applyProtection="1">
      <alignment horizontal="center" vertical="center"/>
      <protection locked="0"/>
    </xf>
    <xf numFmtId="0" fontId="5" fillId="4" borderId="14" xfId="0" applyFont="1" applyFill="1" applyBorder="1" applyAlignment="1" applyProtection="1">
      <alignment horizontal="center" vertical="center"/>
      <protection locked="0"/>
    </xf>
    <xf numFmtId="0" fontId="5" fillId="4" borderId="2" xfId="0" applyFont="1" applyFill="1" applyBorder="1" applyAlignment="1" applyProtection="1">
      <alignment horizontal="center" vertical="center"/>
      <protection locked="0"/>
    </xf>
    <xf numFmtId="0" fontId="2" fillId="4" borderId="5" xfId="0" applyFont="1" applyFill="1" applyBorder="1" applyAlignment="1" applyProtection="1">
      <alignment horizontal="center" vertical="center"/>
      <protection locked="0"/>
    </xf>
    <xf numFmtId="164" fontId="2" fillId="4" borderId="0" xfId="0" applyNumberFormat="1" applyFont="1" applyFill="1" applyProtection="1">
      <protection hidden="1"/>
    </xf>
    <xf numFmtId="164" fontId="2" fillId="4" borderId="0" xfId="0" applyNumberFormat="1" applyFont="1" applyFill="1" applyBorder="1" applyProtection="1">
      <protection hidden="1"/>
    </xf>
    <xf numFmtId="2" fontId="2" fillId="4" borderId="0" xfId="0" applyNumberFormat="1" applyFont="1" applyFill="1" applyBorder="1" applyProtection="1">
      <protection hidden="1"/>
    </xf>
    <xf numFmtId="2" fontId="2" fillId="4" borderId="1" xfId="0" applyNumberFormat="1" applyFont="1" applyFill="1" applyBorder="1" applyAlignment="1" applyProtection="1">
      <alignment horizontal="center"/>
      <protection hidden="1"/>
    </xf>
    <xf numFmtId="0" fontId="2" fillId="4" borderId="8" xfId="0" applyFont="1" applyFill="1" applyBorder="1" applyProtection="1">
      <protection hidden="1"/>
    </xf>
    <xf numFmtId="0" fontId="2" fillId="4" borderId="0" xfId="0" applyFont="1" applyFill="1" applyBorder="1" applyAlignment="1" applyProtection="1">
      <alignment horizontal="center"/>
      <protection hidden="1"/>
    </xf>
    <xf numFmtId="0" fontId="2" fillId="4" borderId="9" xfId="0" applyFont="1" applyFill="1" applyBorder="1" applyAlignment="1" applyProtection="1">
      <alignment horizontal="center"/>
      <protection hidden="1"/>
    </xf>
    <xf numFmtId="0" fontId="2" fillId="4" borderId="10" xfId="0" applyFont="1" applyFill="1" applyBorder="1" applyAlignment="1" applyProtection="1">
      <alignment horizontal="center"/>
      <protection hidden="1"/>
    </xf>
    <xf numFmtId="164" fontId="2" fillId="4" borderId="0" xfId="0" applyNumberFormat="1" applyFont="1" applyFill="1" applyBorder="1" applyAlignment="1" applyProtection="1">
      <alignment horizontal="center"/>
      <protection hidden="1"/>
    </xf>
    <xf numFmtId="164" fontId="2" fillId="4" borderId="10" xfId="0" applyNumberFormat="1" applyFont="1" applyFill="1" applyBorder="1" applyAlignment="1" applyProtection="1">
      <alignment horizontal="center"/>
      <protection hidden="1"/>
    </xf>
    <xf numFmtId="0" fontId="2" fillId="4" borderId="11" xfId="0" applyFont="1" applyFill="1" applyBorder="1" applyAlignment="1" applyProtection="1">
      <alignment horizontal="center"/>
      <protection hidden="1"/>
    </xf>
    <xf numFmtId="1" fontId="2" fillId="4" borderId="8" xfId="0" applyNumberFormat="1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vertical="center"/>
      <protection locked="0"/>
    </xf>
    <xf numFmtId="0" fontId="5" fillId="4" borderId="8" xfId="0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2" fontId="2" fillId="4" borderId="8" xfId="0" applyNumberFormat="1" applyFont="1" applyFill="1" applyBorder="1" applyAlignment="1" applyProtection="1">
      <alignment horizontal="center"/>
      <protection hidden="1"/>
    </xf>
    <xf numFmtId="164" fontId="2" fillId="4" borderId="9" xfId="0" applyNumberFormat="1" applyFont="1" applyFill="1" applyBorder="1" applyAlignment="1" applyProtection="1">
      <alignment horizontal="center"/>
      <protection hidden="1"/>
    </xf>
    <xf numFmtId="0" fontId="2" fillId="4" borderId="9" xfId="0" applyFont="1" applyFill="1" applyBorder="1" applyAlignment="1" applyProtection="1">
      <alignment vertical="center"/>
      <protection locked="0"/>
    </xf>
    <xf numFmtId="0" fontId="2" fillId="4" borderId="8" xfId="0" applyFont="1" applyFill="1" applyBorder="1" applyAlignment="1" applyProtection="1">
      <alignment horizontal="center" vertical="center"/>
      <protection locked="0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2" fillId="4" borderId="10" xfId="0" applyFont="1" applyFill="1" applyBorder="1" applyAlignment="1" applyProtection="1">
      <alignment horizontal="center" vertical="center"/>
      <protection locked="0"/>
    </xf>
    <xf numFmtId="1" fontId="2" fillId="4" borderId="12" xfId="0" applyNumberFormat="1" applyFont="1" applyFill="1" applyBorder="1" applyAlignment="1" applyProtection="1">
      <alignment horizontal="center" vertical="center"/>
      <protection locked="0"/>
    </xf>
    <xf numFmtId="0" fontId="2" fillId="4" borderId="13" xfId="0" applyFont="1" applyFill="1" applyBorder="1" applyAlignment="1" applyProtection="1">
      <alignment vertical="center"/>
      <protection locked="0"/>
    </xf>
    <xf numFmtId="0" fontId="2" fillId="4" borderId="12" xfId="0" applyFont="1" applyFill="1" applyBorder="1" applyAlignment="1" applyProtection="1">
      <alignment horizontal="center" vertical="center"/>
      <protection locked="0"/>
    </xf>
    <xf numFmtId="0" fontId="2" fillId="4" borderId="13" xfId="0" applyFont="1" applyFill="1" applyBorder="1" applyAlignment="1" applyProtection="1">
      <alignment horizontal="center" vertical="center"/>
      <protection locked="0"/>
    </xf>
    <xf numFmtId="2" fontId="2" fillId="4" borderId="12" xfId="0" applyNumberFormat="1" applyFont="1" applyFill="1" applyBorder="1" applyAlignment="1" applyProtection="1">
      <alignment horizontal="center"/>
      <protection hidden="1"/>
    </xf>
    <xf numFmtId="0" fontId="2" fillId="4" borderId="12" xfId="0" applyFont="1" applyFill="1" applyBorder="1" applyProtection="1">
      <protection hidden="1"/>
    </xf>
    <xf numFmtId="0" fontId="2" fillId="4" borderId="13" xfId="0" applyFont="1" applyFill="1" applyBorder="1" applyAlignment="1" applyProtection="1">
      <alignment horizontal="center"/>
      <protection hidden="1"/>
    </xf>
    <xf numFmtId="0" fontId="2" fillId="4" borderId="5" xfId="0" applyFont="1" applyFill="1" applyBorder="1" applyAlignment="1" applyProtection="1">
      <alignment horizontal="center"/>
      <protection hidden="1"/>
    </xf>
    <xf numFmtId="164" fontId="2" fillId="4" borderId="13" xfId="0" applyNumberFormat="1" applyFont="1" applyFill="1" applyBorder="1" applyAlignment="1" applyProtection="1">
      <alignment horizontal="center"/>
      <protection hidden="1"/>
    </xf>
    <xf numFmtId="164" fontId="2" fillId="4" borderId="11" xfId="0" applyNumberFormat="1" applyFont="1" applyFill="1" applyBorder="1" applyAlignment="1" applyProtection="1">
      <alignment horizontal="center"/>
      <protection hidden="1"/>
    </xf>
    <xf numFmtId="0" fontId="11" fillId="4" borderId="0" xfId="0" applyFont="1" applyFill="1" applyAlignment="1" applyProtection="1">
      <alignment horizontal="center" vertical="center"/>
      <protection locked="0"/>
    </xf>
    <xf numFmtId="0" fontId="12" fillId="4" borderId="0" xfId="0" applyFont="1" applyFill="1" applyAlignment="1" applyProtection="1">
      <alignment vertical="center"/>
      <protection locked="0"/>
    </xf>
    <xf numFmtId="0" fontId="11" fillId="4" borderId="0" xfId="0" applyFont="1" applyFill="1" applyAlignment="1" applyProtection="1">
      <alignment vertical="center"/>
      <protection locked="0"/>
    </xf>
    <xf numFmtId="0" fontId="25" fillId="4" borderId="0" xfId="0" applyFont="1" applyFill="1" applyAlignment="1" applyProtection="1">
      <alignment vertical="center"/>
      <protection locked="0"/>
    </xf>
    <xf numFmtId="0" fontId="2" fillId="4" borderId="0" xfId="0" applyFont="1" applyFill="1" applyAlignment="1" applyProtection="1">
      <alignment horizontal="center" vertical="center"/>
      <protection locked="0"/>
    </xf>
    <xf numFmtId="0" fontId="6" fillId="4" borderId="0" xfId="0" applyFont="1" applyFill="1" applyProtection="1">
      <protection hidden="1"/>
    </xf>
    <xf numFmtId="0" fontId="6" fillId="4" borderId="0" xfId="0" applyFont="1" applyFill="1" applyBorder="1" applyAlignment="1" applyProtection="1">
      <alignment horizontal="center" vertical="center"/>
      <protection locked="0"/>
    </xf>
    <xf numFmtId="0" fontId="2" fillId="4" borderId="0" xfId="0" applyFont="1" applyFill="1" applyBorder="1" applyAlignment="1" applyProtection="1">
      <alignment horizontal="center" vertical="center"/>
      <protection locked="0"/>
    </xf>
    <xf numFmtId="0" fontId="18" fillId="4" borderId="0" xfId="0" applyFont="1" applyFill="1" applyAlignment="1" applyProtection="1">
      <alignment vertical="center"/>
      <protection locked="0"/>
    </xf>
    <xf numFmtId="0" fontId="5" fillId="4" borderId="0" xfId="0" applyFont="1" applyFill="1" applyAlignment="1" applyProtection="1">
      <alignment vertical="center"/>
      <protection locked="0"/>
    </xf>
    <xf numFmtId="0" fontId="12" fillId="4" borderId="0" xfId="0" applyNumberFormat="1" applyFont="1" applyFill="1" applyBorder="1" applyAlignment="1" applyProtection="1">
      <alignment vertical="center"/>
      <protection locked="0"/>
    </xf>
    <xf numFmtId="0" fontId="12" fillId="4" borderId="14" xfId="0" applyFont="1" applyFill="1" applyBorder="1" applyAlignment="1" applyProtection="1">
      <alignment vertical="center"/>
      <protection locked="0"/>
    </xf>
    <xf numFmtId="0" fontId="12" fillId="4" borderId="2" xfId="0" applyFont="1" applyFill="1" applyBorder="1" applyAlignment="1" applyProtection="1">
      <alignment vertical="center"/>
      <protection locked="0"/>
    </xf>
    <xf numFmtId="0" fontId="2" fillId="4" borderId="0" xfId="0" applyFont="1" applyFill="1" applyBorder="1" applyAlignment="1" applyProtection="1">
      <alignment vertical="center"/>
      <protection locked="0"/>
    </xf>
    <xf numFmtId="0" fontId="12" fillId="4" borderId="13" xfId="0" applyFont="1" applyFill="1" applyBorder="1" applyAlignment="1" applyProtection="1">
      <alignment vertical="center"/>
      <protection locked="0"/>
    </xf>
    <xf numFmtId="0" fontId="12" fillId="4" borderId="5" xfId="0" applyFont="1" applyFill="1" applyBorder="1" applyAlignment="1" applyProtection="1">
      <alignment vertical="center"/>
      <protection locked="0"/>
    </xf>
    <xf numFmtId="0" fontId="12" fillId="4" borderId="0" xfId="0" applyFont="1" applyFill="1" applyBorder="1" applyAlignment="1" applyProtection="1">
      <alignment vertical="center"/>
      <protection locked="0"/>
    </xf>
    <xf numFmtId="0" fontId="4" fillId="4" borderId="1" xfId="0" applyFont="1" applyFill="1" applyBorder="1" applyAlignment="1" applyProtection="1">
      <alignment vertical="center"/>
      <protection locked="0"/>
    </xf>
    <xf numFmtId="16" fontId="2" fillId="4" borderId="0" xfId="0" applyNumberFormat="1" applyFont="1" applyFill="1" applyBorder="1" applyAlignment="1" applyProtection="1">
      <alignment vertical="center" wrapText="1"/>
      <protection locked="0"/>
    </xf>
    <xf numFmtId="20" fontId="2" fillId="4" borderId="0" xfId="0" applyNumberFormat="1" applyFont="1" applyFill="1" applyBorder="1" applyAlignment="1" applyProtection="1">
      <alignment vertical="center"/>
      <protection locked="0"/>
    </xf>
    <xf numFmtId="0" fontId="4" fillId="4" borderId="12" xfId="0" applyFont="1" applyFill="1" applyBorder="1" applyAlignment="1" applyProtection="1">
      <alignment vertical="center"/>
      <protection locked="0"/>
    </xf>
    <xf numFmtId="0" fontId="15" fillId="4" borderId="0" xfId="0" applyFont="1" applyFill="1" applyAlignment="1" applyProtection="1">
      <alignment horizontal="right" vertical="center"/>
      <protection locked="0"/>
    </xf>
    <xf numFmtId="0" fontId="7" fillId="4" borderId="0" xfId="0" applyFont="1" applyFill="1" applyBorder="1" applyAlignment="1" applyProtection="1">
      <alignment vertical="top"/>
      <protection locked="0"/>
    </xf>
    <xf numFmtId="0" fontId="7" fillId="4" borderId="0" xfId="0" applyFont="1" applyFill="1" applyAlignment="1" applyProtection="1">
      <alignment vertical="top"/>
      <protection locked="0"/>
    </xf>
    <xf numFmtId="0" fontId="7" fillId="4" borderId="0" xfId="0" applyFont="1" applyFill="1" applyAlignment="1" applyProtection="1">
      <alignment vertical="center"/>
      <protection locked="0"/>
    </xf>
    <xf numFmtId="0" fontId="14" fillId="4" borderId="0" xfId="0" applyFont="1" applyFill="1" applyBorder="1" applyAlignment="1" applyProtection="1">
      <alignment vertical="top"/>
      <protection locked="0"/>
    </xf>
    <xf numFmtId="0" fontId="14" fillId="4" borderId="0" xfId="0" applyFont="1" applyFill="1" applyAlignment="1" applyProtection="1">
      <alignment vertical="top"/>
      <protection locked="0"/>
    </xf>
    <xf numFmtId="0" fontId="9" fillId="4" borderId="0" xfId="0" applyFont="1" applyFill="1" applyAlignment="1" applyProtection="1">
      <alignment vertical="top"/>
      <protection locked="0"/>
    </xf>
    <xf numFmtId="0" fontId="15" fillId="4" borderId="0" xfId="0" applyFont="1" applyFill="1" applyAlignment="1" applyProtection="1">
      <alignment horizontal="left" vertical="center"/>
      <protection locked="0"/>
    </xf>
    <xf numFmtId="0" fontId="15" fillId="4" borderId="0" xfId="0" applyFont="1" applyFill="1" applyBorder="1" applyAlignment="1" applyProtection="1">
      <alignment horizontal="left" vertical="center"/>
      <protection locked="0"/>
    </xf>
    <xf numFmtId="0" fontId="15" fillId="4" borderId="0" xfId="0" applyFont="1" applyFill="1" applyBorder="1" applyAlignment="1" applyProtection="1">
      <alignment horizontal="left" vertical="top"/>
      <protection locked="0"/>
    </xf>
    <xf numFmtId="0" fontId="15" fillId="4" borderId="0" xfId="0" applyFont="1" applyFill="1" applyAlignment="1" applyProtection="1">
      <alignment horizontal="left" vertical="top"/>
      <protection locked="0"/>
    </xf>
    <xf numFmtId="0" fontId="7" fillId="4" borderId="0" xfId="0" applyFont="1" applyFill="1" applyAlignment="1" applyProtection="1">
      <alignment horizontal="left"/>
      <protection locked="0"/>
    </xf>
    <xf numFmtId="0" fontId="7" fillId="4" borderId="0" xfId="0" applyFont="1" applyFill="1" applyAlignment="1" applyProtection="1">
      <alignment horizontal="left" vertical="center"/>
      <protection locked="0"/>
    </xf>
    <xf numFmtId="0" fontId="2" fillId="4" borderId="0" xfId="0" applyNumberFormat="1" applyFont="1" applyFill="1" applyBorder="1" applyProtection="1">
      <protection locked="0"/>
    </xf>
    <xf numFmtId="0" fontId="2" fillId="4" borderId="0" xfId="0" applyNumberFormat="1" applyFont="1" applyFill="1" applyBorder="1" applyAlignment="1" applyProtection="1">
      <alignment horizontal="right"/>
      <protection locked="0"/>
    </xf>
    <xf numFmtId="0" fontId="23" fillId="7" borderId="14" xfId="0" applyNumberFormat="1" applyFont="1" applyFill="1" applyBorder="1" applyAlignment="1" applyProtection="1">
      <alignment vertical="center"/>
      <protection locked="0"/>
    </xf>
    <xf numFmtId="20" fontId="24" fillId="7" borderId="15" xfId="0" applyNumberFormat="1" applyFont="1" applyFill="1" applyBorder="1" applyAlignment="1" applyProtection="1">
      <alignment vertical="center"/>
      <protection locked="0"/>
    </xf>
    <xf numFmtId="0" fontId="24" fillId="7" borderId="6" xfId="0" applyFont="1" applyFill="1" applyBorder="1" applyAlignment="1" applyProtection="1">
      <alignment vertical="center"/>
      <protection locked="0"/>
    </xf>
    <xf numFmtId="0" fontId="24" fillId="7" borderId="6" xfId="0" applyFont="1" applyFill="1" applyBorder="1" applyAlignment="1" applyProtection="1">
      <alignment horizontal="center" vertical="center"/>
      <protection locked="0"/>
    </xf>
    <xf numFmtId="0" fontId="24" fillId="7" borderId="4" xfId="0" applyNumberFormat="1" applyFont="1" applyFill="1" applyBorder="1" applyAlignment="1" applyProtection="1">
      <alignment horizontal="right" vertical="center"/>
      <protection locked="0"/>
    </xf>
    <xf numFmtId="16" fontId="21" fillId="8" borderId="14" xfId="2" applyNumberFormat="1" applyFont="1" applyFill="1" applyBorder="1" applyAlignment="1" applyProtection="1">
      <alignment vertical="center" wrapText="1"/>
      <protection locked="0"/>
    </xf>
    <xf numFmtId="20" fontId="21" fillId="8" borderId="2" xfId="2" applyNumberFormat="1" applyFont="1" applyFill="1" applyBorder="1" applyAlignment="1" applyProtection="1">
      <alignment horizontal="center" vertical="center"/>
      <protection locked="0"/>
    </xf>
    <xf numFmtId="0" fontId="21" fillId="8" borderId="30" xfId="2" applyFont="1" applyFill="1" applyBorder="1" applyAlignment="1" applyProtection="1">
      <alignment vertical="center"/>
      <protection locked="0"/>
    </xf>
    <xf numFmtId="0" fontId="21" fillId="8" borderId="20" xfId="2" applyFont="1" applyFill="1" applyBorder="1" applyAlignment="1" applyProtection="1">
      <alignment horizontal="right" vertical="center"/>
      <protection locked="0"/>
    </xf>
    <xf numFmtId="16" fontId="21" fillId="8" borderId="9" xfId="2" applyNumberFormat="1" applyFont="1" applyFill="1" applyBorder="1" applyAlignment="1" applyProtection="1">
      <alignment vertical="center" wrapText="1"/>
      <protection locked="0"/>
    </xf>
    <xf numFmtId="20" fontId="21" fillId="8" borderId="10" xfId="2" applyNumberFormat="1" applyFont="1" applyFill="1" applyBorder="1" applyAlignment="1" applyProtection="1">
      <alignment horizontal="center" vertical="center"/>
      <protection locked="0"/>
    </xf>
    <xf numFmtId="0" fontId="21" fillId="8" borderId="0" xfId="2" applyFont="1" applyFill="1" applyBorder="1" applyAlignment="1" applyProtection="1">
      <alignment vertical="center"/>
      <protection locked="0"/>
    </xf>
    <xf numFmtId="0" fontId="21" fillId="8" borderId="22" xfId="2" applyFont="1" applyFill="1" applyBorder="1" applyAlignment="1" applyProtection="1">
      <alignment horizontal="right" vertical="center"/>
      <protection locked="0"/>
    </xf>
    <xf numFmtId="16" fontId="21" fillId="8" borderId="13" xfId="2" applyNumberFormat="1" applyFont="1" applyFill="1" applyBorder="1" applyAlignment="1" applyProtection="1">
      <alignment vertical="center" wrapText="1"/>
      <protection locked="0"/>
    </xf>
    <xf numFmtId="20" fontId="21" fillId="8" borderId="5" xfId="2" applyNumberFormat="1" applyFont="1" applyFill="1" applyBorder="1" applyAlignment="1" applyProtection="1">
      <alignment horizontal="center" vertical="center"/>
      <protection locked="0"/>
    </xf>
    <xf numFmtId="0" fontId="21" fillId="8" borderId="31" xfId="2" applyFont="1" applyFill="1" applyBorder="1" applyAlignment="1" applyProtection="1">
      <alignment vertical="center"/>
      <protection locked="0"/>
    </xf>
    <xf numFmtId="0" fontId="21" fillId="8" borderId="23" xfId="2" applyFont="1" applyFill="1" applyBorder="1" applyAlignment="1" applyProtection="1">
      <alignment horizontal="right" vertical="center"/>
      <protection locked="0"/>
    </xf>
    <xf numFmtId="1" fontId="2" fillId="10" borderId="8" xfId="0" applyNumberFormat="1" applyFont="1" applyFill="1" applyBorder="1" applyAlignment="1" applyProtection="1">
      <alignment horizontal="center" vertical="center"/>
      <protection locked="0"/>
    </xf>
    <xf numFmtId="0" fontId="2" fillId="10" borderId="9" xfId="0" applyFont="1" applyFill="1" applyBorder="1" applyAlignment="1" applyProtection="1">
      <alignment vertical="center"/>
      <protection locked="0"/>
    </xf>
    <xf numFmtId="0" fontId="2" fillId="10" borderId="8" xfId="0" applyFont="1" applyFill="1" applyBorder="1" applyAlignment="1" applyProtection="1">
      <alignment horizontal="center" vertical="center"/>
      <protection locked="0"/>
    </xf>
    <xf numFmtId="0" fontId="2" fillId="10" borderId="9" xfId="0" applyFont="1" applyFill="1" applyBorder="1" applyAlignment="1" applyProtection="1">
      <alignment horizontal="center" vertical="center"/>
      <protection locked="0"/>
    </xf>
    <xf numFmtId="0" fontId="2" fillId="10" borderId="10" xfId="0" applyFont="1" applyFill="1" applyBorder="1" applyAlignment="1" applyProtection="1">
      <alignment horizontal="center" vertical="center"/>
      <protection locked="0"/>
    </xf>
    <xf numFmtId="1" fontId="2" fillId="10" borderId="12" xfId="0" applyNumberFormat="1" applyFont="1" applyFill="1" applyBorder="1" applyAlignment="1" applyProtection="1">
      <alignment horizontal="center" vertical="center"/>
      <protection locked="0"/>
    </xf>
    <xf numFmtId="0" fontId="2" fillId="10" borderId="13" xfId="0" applyFont="1" applyFill="1" applyBorder="1" applyAlignment="1" applyProtection="1">
      <alignment vertical="center"/>
      <protection locked="0"/>
    </xf>
    <xf numFmtId="0" fontId="2" fillId="10" borderId="12" xfId="0" applyFont="1" applyFill="1" applyBorder="1" applyAlignment="1" applyProtection="1">
      <alignment horizontal="center" vertical="center"/>
      <protection locked="0"/>
    </xf>
    <xf numFmtId="0" fontId="2" fillId="10" borderId="13" xfId="0" applyFont="1" applyFill="1" applyBorder="1" applyAlignment="1" applyProtection="1">
      <alignment horizontal="center" vertical="center"/>
      <protection locked="0"/>
    </xf>
    <xf numFmtId="0" fontId="2" fillId="10" borderId="5" xfId="0" applyFont="1" applyFill="1" applyBorder="1" applyAlignment="1" applyProtection="1">
      <alignment horizontal="center" vertical="center"/>
      <protection locked="0"/>
    </xf>
    <xf numFmtId="1" fontId="2" fillId="6" borderId="1" xfId="0" applyNumberFormat="1" applyFont="1" applyFill="1" applyBorder="1" applyAlignment="1" applyProtection="1">
      <alignment horizontal="center" vertical="center"/>
      <protection locked="0"/>
    </xf>
    <xf numFmtId="1" fontId="2" fillId="6" borderId="8" xfId="0" applyNumberFormat="1" applyFont="1" applyFill="1" applyBorder="1" applyAlignment="1" applyProtection="1">
      <alignment horizontal="center" vertical="center"/>
      <protection locked="0"/>
    </xf>
    <xf numFmtId="0" fontId="12" fillId="7" borderId="14" xfId="0" applyNumberFormat="1" applyFont="1" applyFill="1" applyBorder="1" applyAlignment="1" applyProtection="1">
      <alignment vertical="center"/>
      <protection locked="0"/>
    </xf>
    <xf numFmtId="0" fontId="12" fillId="7" borderId="1" xfId="0" applyNumberFormat="1" applyFont="1" applyFill="1" applyBorder="1" applyAlignment="1" applyProtection="1">
      <alignment vertical="center"/>
      <protection locked="0"/>
    </xf>
    <xf numFmtId="0" fontId="27" fillId="4" borderId="0" xfId="0" applyFont="1" applyFill="1" applyAlignment="1" applyProtection="1">
      <alignment vertical="center"/>
      <protection locked="0"/>
    </xf>
    <xf numFmtId="0" fontId="12" fillId="7" borderId="14" xfId="0" applyFont="1" applyFill="1" applyBorder="1" applyProtection="1">
      <protection locked="0"/>
    </xf>
    <xf numFmtId="0" fontId="12" fillId="7" borderId="15" xfId="0" applyFont="1" applyFill="1" applyBorder="1" applyProtection="1">
      <protection locked="0"/>
    </xf>
    <xf numFmtId="0" fontId="6" fillId="11" borderId="1" xfId="0" applyFont="1" applyFill="1" applyBorder="1" applyAlignment="1" applyProtection="1">
      <alignment horizontal="center" vertical="center"/>
      <protection locked="0"/>
    </xf>
    <xf numFmtId="0" fontId="6" fillId="11" borderId="3" xfId="0" applyFont="1" applyFill="1" applyBorder="1" applyAlignment="1" applyProtection="1">
      <alignment horizontal="center" vertical="center"/>
      <protection locked="0"/>
    </xf>
    <xf numFmtId="0" fontId="21" fillId="14" borderId="21" xfId="2" applyFont="1" applyFill="1" applyBorder="1" applyAlignment="1" applyProtection="1">
      <alignment horizontal="center" vertical="center"/>
      <protection locked="0"/>
    </xf>
    <xf numFmtId="0" fontId="2" fillId="5" borderId="5" xfId="0" applyFont="1" applyFill="1" applyBorder="1" applyAlignment="1" applyProtection="1">
      <alignment horizontal="center" vertical="center"/>
      <protection locked="0"/>
    </xf>
    <xf numFmtId="0" fontId="1" fillId="2" borderId="0" xfId="1" applyFill="1" applyAlignment="1" applyProtection="1">
      <alignment horizontal="center" vertical="top" wrapText="1"/>
    </xf>
    <xf numFmtId="0" fontId="0" fillId="2" borderId="0" xfId="0" applyFill="1" applyAlignment="1">
      <alignment vertical="top" wrapText="1"/>
    </xf>
    <xf numFmtId="0" fontId="16" fillId="2" borderId="0" xfId="0" applyFont="1" applyFill="1" applyBorder="1"/>
    <xf numFmtId="0" fontId="0" fillId="2" borderId="0" xfId="0" applyFill="1" applyBorder="1"/>
    <xf numFmtId="0" fontId="16" fillId="2" borderId="16" xfId="0" applyFont="1" applyFill="1" applyBorder="1" applyAlignment="1">
      <alignment horizontal="center" vertical="center"/>
    </xf>
    <xf numFmtId="0" fontId="0" fillId="0" borderId="2" xfId="0" applyBorder="1" applyAlignment="1">
      <alignment vertical="center"/>
    </xf>
    <xf numFmtId="0" fontId="0" fillId="0" borderId="15" xfId="0" applyBorder="1" applyAlignment="1">
      <alignment vertical="center"/>
    </xf>
    <xf numFmtId="0" fontId="0" fillId="0" borderId="10" xfId="0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11" xfId="0" applyBorder="1" applyAlignment="1">
      <alignment vertical="center"/>
    </xf>
    <xf numFmtId="0" fontId="2" fillId="4" borderId="0" xfId="0" applyFont="1" applyFill="1" applyAlignment="1" applyProtection="1">
      <alignment horizontal="center" vertical="center"/>
      <protection locked="0"/>
    </xf>
    <xf numFmtId="0" fontId="2" fillId="4" borderId="0" xfId="0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 applyProtection="1">
      <alignment horizontal="center" vertical="center"/>
      <protection locked="0"/>
    </xf>
    <xf numFmtId="20" fontId="2" fillId="4" borderId="0" xfId="0" applyNumberFormat="1" applyFont="1" applyFill="1" applyBorder="1" applyAlignment="1" applyProtection="1">
      <alignment horizontal="center" vertical="center"/>
      <protection locked="0"/>
    </xf>
    <xf numFmtId="20" fontId="2" fillId="11" borderId="2" xfId="0" applyNumberFormat="1" applyFont="1" applyFill="1" applyBorder="1" applyAlignment="1" applyProtection="1">
      <alignment horizontal="center" vertical="center"/>
      <protection locked="0"/>
    </xf>
    <xf numFmtId="20" fontId="2" fillId="11" borderId="5" xfId="0" applyNumberFormat="1" applyFont="1" applyFill="1" applyBorder="1" applyAlignment="1" applyProtection="1">
      <alignment horizontal="center" vertical="center"/>
      <protection locked="0"/>
    </xf>
    <xf numFmtId="16" fontId="2" fillId="11" borderId="14" xfId="0" applyNumberFormat="1" applyFont="1" applyFill="1" applyBorder="1" applyAlignment="1" applyProtection="1">
      <alignment horizontal="center" vertical="center" wrapText="1"/>
      <protection locked="0"/>
    </xf>
    <xf numFmtId="16" fontId="2" fillId="11" borderId="13" xfId="0" applyNumberFormat="1" applyFont="1" applyFill="1" applyBorder="1" applyAlignment="1" applyProtection="1">
      <alignment horizontal="center" vertical="center" wrapText="1"/>
      <protection locked="0"/>
    </xf>
    <xf numFmtId="16" fontId="2" fillId="4" borderId="0" xfId="0" applyNumberFormat="1" applyFont="1" applyFill="1" applyBorder="1" applyAlignment="1" applyProtection="1">
      <alignment horizontal="center" vertical="center" wrapText="1"/>
      <protection locked="0"/>
    </xf>
    <xf numFmtId="0" fontId="6" fillId="11" borderId="1" xfId="0" applyFont="1" applyFill="1" applyBorder="1" applyAlignment="1" applyProtection="1">
      <alignment horizontal="center" vertical="center"/>
      <protection locked="0"/>
    </xf>
    <xf numFmtId="0" fontId="6" fillId="11" borderId="12" xfId="0" applyFont="1" applyFill="1" applyBorder="1" applyAlignment="1" applyProtection="1">
      <alignment horizontal="center" vertical="center"/>
      <protection locked="0"/>
    </xf>
    <xf numFmtId="0" fontId="2" fillId="5" borderId="1" xfId="0" applyFont="1" applyFill="1" applyBorder="1" applyAlignment="1" applyProtection="1">
      <alignment horizontal="center" vertical="center"/>
      <protection locked="0"/>
    </xf>
    <xf numFmtId="0" fontId="2" fillId="5" borderId="12" xfId="0" applyFont="1" applyFill="1" applyBorder="1" applyAlignment="1" applyProtection="1">
      <alignment horizontal="center" vertical="center"/>
      <protection locked="0"/>
    </xf>
    <xf numFmtId="0" fontId="1" fillId="4" borderId="0" xfId="1" applyFont="1" applyFill="1" applyAlignment="1" applyProtection="1">
      <alignment horizontal="center" vertical="center"/>
      <protection locked="0"/>
    </xf>
    <xf numFmtId="0" fontId="1" fillId="4" borderId="0" xfId="1" applyFont="1" applyFill="1" applyBorder="1" applyAlignment="1" applyProtection="1">
      <alignment horizontal="center" vertical="center"/>
      <protection locked="0"/>
    </xf>
    <xf numFmtId="20" fontId="22" fillId="12" borderId="27" xfId="2" applyNumberFormat="1" applyFont="1" applyFill="1" applyBorder="1" applyAlignment="1" applyProtection="1">
      <alignment horizontal="center" vertical="center"/>
      <protection locked="0"/>
    </xf>
    <xf numFmtId="16" fontId="22" fillId="12" borderId="26" xfId="2" applyNumberFormat="1" applyFont="1" applyFill="1" applyBorder="1" applyAlignment="1" applyProtection="1">
      <alignment horizontal="center" vertical="center" wrapText="1"/>
      <protection locked="0"/>
    </xf>
    <xf numFmtId="16" fontId="22" fillId="9" borderId="26" xfId="2" applyNumberFormat="1" applyFont="1" applyFill="1" applyBorder="1" applyAlignment="1" applyProtection="1">
      <alignment horizontal="center" vertical="center" wrapText="1"/>
      <protection locked="0"/>
    </xf>
    <xf numFmtId="16" fontId="22" fillId="9" borderId="28" xfId="2" applyNumberFormat="1" applyFont="1" applyFill="1" applyBorder="1" applyAlignment="1" applyProtection="1">
      <alignment horizontal="center" vertical="center" wrapText="1"/>
      <protection locked="0"/>
    </xf>
    <xf numFmtId="20" fontId="22" fillId="9" borderId="27" xfId="2" applyNumberFormat="1" applyFont="1" applyFill="1" applyBorder="1" applyAlignment="1" applyProtection="1">
      <alignment horizontal="center" vertical="center"/>
      <protection locked="0"/>
    </xf>
    <xf numFmtId="20" fontId="22" fillId="9" borderId="29" xfId="2" applyNumberFormat="1" applyFont="1" applyFill="1" applyBorder="1" applyAlignment="1" applyProtection="1">
      <alignment horizontal="center" vertical="center"/>
      <protection locked="0"/>
    </xf>
    <xf numFmtId="0" fontId="12" fillId="7" borderId="7" xfId="0" applyNumberFormat="1" applyFont="1" applyFill="1" applyBorder="1" applyAlignment="1" applyProtection="1">
      <alignment horizontal="left" vertical="center"/>
      <protection locked="0"/>
    </xf>
    <xf numFmtId="0" fontId="12" fillId="7" borderId="6" xfId="0" applyNumberFormat="1" applyFont="1" applyFill="1" applyBorder="1" applyAlignment="1" applyProtection="1">
      <alignment horizontal="left" vertical="center"/>
      <protection locked="0"/>
    </xf>
    <xf numFmtId="0" fontId="12" fillId="7" borderId="4" xfId="0" applyNumberFormat="1" applyFont="1" applyFill="1" applyBorder="1" applyAlignment="1" applyProtection="1">
      <alignment horizontal="left" vertical="center"/>
      <protection locked="0"/>
    </xf>
    <xf numFmtId="20" fontId="22" fillId="12" borderId="25" xfId="2" applyNumberFormat="1" applyFont="1" applyFill="1" applyBorder="1" applyAlignment="1" applyProtection="1">
      <alignment horizontal="center" vertical="center"/>
      <protection locked="0"/>
    </xf>
    <xf numFmtId="16" fontId="22" fillId="12" borderId="24" xfId="2" applyNumberFormat="1" applyFont="1" applyFill="1" applyBorder="1" applyAlignment="1" applyProtection="1">
      <alignment horizontal="center" vertical="center" wrapText="1"/>
      <protection locked="0"/>
    </xf>
    <xf numFmtId="0" fontId="8" fillId="4" borderId="9" xfId="0" applyFont="1" applyFill="1" applyBorder="1" applyAlignment="1" applyProtection="1">
      <alignment horizontal="center" vertical="center"/>
      <protection locked="0"/>
    </xf>
    <xf numFmtId="0" fontId="8" fillId="4" borderId="0" xfId="0" applyFont="1" applyFill="1" applyBorder="1" applyAlignment="1" applyProtection="1">
      <alignment horizontal="center" vertical="center"/>
      <protection locked="0"/>
    </xf>
    <xf numFmtId="0" fontId="26" fillId="13" borderId="14" xfId="0" applyFont="1" applyFill="1" applyBorder="1" applyAlignment="1" applyProtection="1">
      <alignment horizontal="center" vertical="center"/>
      <protection locked="0"/>
    </xf>
    <xf numFmtId="0" fontId="26" fillId="13" borderId="15" xfId="0" applyFont="1" applyFill="1" applyBorder="1" applyAlignment="1" applyProtection="1">
      <alignment horizontal="center" vertical="center"/>
      <protection locked="0"/>
    </xf>
    <xf numFmtId="0" fontId="26" fillId="13" borderId="2" xfId="0" applyFont="1" applyFill="1" applyBorder="1" applyAlignment="1" applyProtection="1">
      <alignment horizontal="center" vertical="center"/>
      <protection locked="0"/>
    </xf>
    <xf numFmtId="0" fontId="26" fillId="13" borderId="13" xfId="0" applyFont="1" applyFill="1" applyBorder="1" applyAlignment="1" applyProtection="1">
      <alignment horizontal="center" vertical="center"/>
      <protection locked="0"/>
    </xf>
    <xf numFmtId="0" fontId="26" fillId="13" borderId="11" xfId="0" applyFont="1" applyFill="1" applyBorder="1" applyAlignment="1" applyProtection="1">
      <alignment horizontal="center" vertical="center"/>
      <protection locked="0"/>
    </xf>
    <xf numFmtId="0" fontId="26" fillId="13" borderId="5" xfId="0" applyFont="1" applyFill="1" applyBorder="1" applyAlignment="1" applyProtection="1">
      <alignment horizontal="center" vertical="center"/>
      <protection locked="0"/>
    </xf>
    <xf numFmtId="16" fontId="2" fillId="11" borderId="9" xfId="0" applyNumberFormat="1" applyFont="1" applyFill="1" applyBorder="1" applyAlignment="1" applyProtection="1">
      <alignment horizontal="center" vertical="center" wrapText="1"/>
      <protection locked="0"/>
    </xf>
    <xf numFmtId="20" fontId="2" fillId="11" borderId="10" xfId="0" applyNumberFormat="1" applyFont="1" applyFill="1" applyBorder="1" applyAlignment="1" applyProtection="1">
      <alignment horizontal="center" vertical="center"/>
      <protection locked="0"/>
    </xf>
    <xf numFmtId="0" fontId="6" fillId="4" borderId="0" xfId="0" applyFont="1" applyFill="1" applyBorder="1" applyAlignment="1" applyProtection="1">
      <alignment horizontal="left" vertical="center"/>
      <protection locked="0"/>
    </xf>
    <xf numFmtId="0" fontId="17" fillId="2" borderId="0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28" fillId="10" borderId="14" xfId="0" applyFont="1" applyFill="1" applyBorder="1" applyAlignment="1">
      <alignment horizontal="center" vertical="center"/>
    </xf>
    <xf numFmtId="0" fontId="28" fillId="10" borderId="15" xfId="0" applyFont="1" applyFill="1" applyBorder="1" applyAlignment="1">
      <alignment horizontal="center" vertical="center"/>
    </xf>
    <xf numFmtId="0" fontId="28" fillId="10" borderId="2" xfId="0" applyFont="1" applyFill="1" applyBorder="1" applyAlignment="1">
      <alignment horizontal="center" vertical="center"/>
    </xf>
    <xf numFmtId="0" fontId="28" fillId="10" borderId="9" xfId="0" applyFont="1" applyFill="1" applyBorder="1" applyAlignment="1">
      <alignment horizontal="center" vertical="center"/>
    </xf>
    <xf numFmtId="0" fontId="28" fillId="10" borderId="0" xfId="0" applyFont="1" applyFill="1" applyBorder="1" applyAlignment="1">
      <alignment horizontal="center" vertical="center"/>
    </xf>
    <xf numFmtId="0" fontId="28" fillId="10" borderId="10" xfId="0" applyFont="1" applyFill="1" applyBorder="1" applyAlignment="1">
      <alignment horizontal="center" vertical="center"/>
    </xf>
    <xf numFmtId="0" fontId="28" fillId="10" borderId="13" xfId="0" applyFont="1" applyFill="1" applyBorder="1" applyAlignment="1">
      <alignment horizontal="center" vertical="center"/>
    </xf>
    <xf numFmtId="0" fontId="28" fillId="10" borderId="11" xfId="0" applyFont="1" applyFill="1" applyBorder="1" applyAlignment="1">
      <alignment horizontal="center" vertical="center"/>
    </xf>
    <xf numFmtId="0" fontId="28" fillId="10" borderId="5" xfId="0" applyFont="1" applyFill="1" applyBorder="1" applyAlignment="1">
      <alignment horizontal="center" vertical="center"/>
    </xf>
    <xf numFmtId="0" fontId="19" fillId="2" borderId="15" xfId="0" applyNumberFormat="1" applyFont="1" applyFill="1" applyBorder="1" applyAlignment="1" applyProtection="1">
      <alignment horizontal="center" vertical="center"/>
      <protection locked="0"/>
    </xf>
    <xf numFmtId="0" fontId="19" fillId="2" borderId="0" xfId="0" applyNumberFormat="1" applyFont="1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left" vertical="top" wrapText="1"/>
    </xf>
    <xf numFmtId="0" fontId="17" fillId="2" borderId="17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0" fontId="17" fillId="2" borderId="19" xfId="0" applyFont="1" applyFill="1" applyBorder="1" applyAlignment="1">
      <alignment horizontal="center" vertical="center"/>
    </xf>
    <xf numFmtId="0" fontId="17" fillId="3" borderId="0" xfId="0" applyNumberFormat="1" applyFont="1" applyFill="1" applyBorder="1" applyAlignment="1" applyProtection="1">
      <alignment horizontal="center" vertical="center"/>
      <protection locked="0"/>
    </xf>
    <xf numFmtId="0" fontId="11" fillId="4" borderId="0" xfId="0" applyFont="1" applyFill="1" applyBorder="1" applyAlignment="1" applyProtection="1">
      <alignment horizontal="center" vertical="center"/>
      <protection locked="0"/>
    </xf>
    <xf numFmtId="20" fontId="11" fillId="4" borderId="0" xfId="0" applyNumberFormat="1" applyFont="1" applyFill="1" applyBorder="1" applyAlignment="1" applyProtection="1">
      <alignment horizontal="center" vertical="center"/>
      <protection locked="0"/>
    </xf>
    <xf numFmtId="0" fontId="11" fillId="4" borderId="0" xfId="0" applyFont="1" applyFill="1" applyBorder="1" applyAlignment="1" applyProtection="1">
      <alignment horizontal="center" vertical="center"/>
      <protection locked="0"/>
    </xf>
    <xf numFmtId="0" fontId="29" fillId="4" borderId="0" xfId="0" applyFont="1" applyFill="1" applyBorder="1" applyAlignment="1" applyProtection="1">
      <alignment horizontal="center" vertical="center"/>
      <protection locked="0"/>
    </xf>
  </cellXfs>
  <cellStyles count="3">
    <cellStyle name="Excel Built-in Normal" xfId="2"/>
    <cellStyle name="Lien hypertexte" xfId="1" builtinId="8"/>
    <cellStyle name="Normal" xfId="0" builtinId="0"/>
  </cellStyles>
  <dxfs count="23"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b/>
        <i val="0"/>
        <condense val="0"/>
        <extend val="0"/>
        <color indexed="13"/>
      </font>
      <fill>
        <patternFill>
          <bgColor indexed="58"/>
        </patternFill>
      </fill>
    </dxf>
    <dxf>
      <font>
        <b/>
        <i val="0"/>
        <condense val="0"/>
        <extend val="0"/>
        <color indexed="13"/>
      </font>
      <fill>
        <patternFill>
          <bgColor indexed="58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b/>
        <i val="0"/>
        <condense val="0"/>
        <extend val="0"/>
        <color indexed="16"/>
      </font>
      <fill>
        <patternFill>
          <bgColor indexed="52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b/>
        <i val="0"/>
        <condense val="0"/>
        <extend val="0"/>
        <color indexed="13"/>
      </font>
      <fill>
        <patternFill>
          <bgColor indexed="58"/>
        </patternFill>
      </fill>
    </dxf>
    <dxf>
      <font>
        <b/>
        <i val="0"/>
        <condense val="0"/>
        <extend val="0"/>
        <color indexed="13"/>
      </font>
      <fill>
        <patternFill>
          <bgColor indexed="58"/>
        </patternFill>
      </fill>
    </dxf>
    <dxf>
      <font>
        <b/>
        <i val="0"/>
        <condense val="0"/>
        <extend val="0"/>
        <color indexed="13"/>
      </font>
      <fill>
        <patternFill>
          <bgColor indexed="58"/>
        </patternFill>
      </fill>
    </dxf>
    <dxf>
      <font>
        <b/>
        <i val="0"/>
        <condense val="0"/>
        <extend val="0"/>
        <color indexed="13"/>
      </font>
      <fill>
        <patternFill>
          <bgColor indexed="58"/>
        </patternFill>
      </fill>
    </dxf>
  </dxfs>
  <tableStyles count="0" defaultTableStyle="TableStyleMedium9" defaultPivotStyle="PivotStyleLight16"/>
  <colors>
    <mruColors>
      <color rgb="FF007233"/>
      <color rgb="FFFD796F"/>
      <color rgb="FFDC3C00"/>
      <color rgb="FFF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openxmlformats.org/officeDocument/2006/relationships/customXml" Target="../customXml/item4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23</xdr:col>
      <xdr:colOff>21248</xdr:colOff>
      <xdr:row>2</xdr:row>
      <xdr:rowOff>119427</xdr:rowOff>
    </xdr:from>
    <xdr:to>
      <xdr:col>29</xdr:col>
      <xdr:colOff>89389</xdr:colOff>
      <xdr:row>17</xdr:row>
      <xdr:rowOff>106972</xdr:rowOff>
    </xdr:to>
    <xdr:pic>
      <xdr:nvPicPr>
        <xdr:cNvPr id="2" name="Image 1" descr="logo-can-2015.pn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955698" y="281352"/>
          <a:ext cx="3525716" cy="1816345"/>
        </a:xfrm>
        <a:prstGeom prst="rect">
          <a:avLst/>
        </a:prstGeom>
      </xdr:spPr>
    </xdr:pic>
    <xdr:clientData/>
  </xdr:twoCellAnchor>
  <xdr:twoCellAnchor editAs="oneCell">
    <xdr:from>
      <xdr:col>23</xdr:col>
      <xdr:colOff>21166</xdr:colOff>
      <xdr:row>17</xdr:row>
      <xdr:rowOff>21167</xdr:rowOff>
    </xdr:from>
    <xdr:to>
      <xdr:col>29</xdr:col>
      <xdr:colOff>306917</xdr:colOff>
      <xdr:row>39</xdr:row>
      <xdr:rowOff>116417</xdr:rowOff>
    </xdr:to>
    <xdr:pic>
      <xdr:nvPicPr>
        <xdr:cNvPr id="3" name="Image 2" descr="Yacine+Brahimi+Algeria+v+Russia+Group+H+mp-6qzA40B3l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964083" y="2063750"/>
          <a:ext cx="3735917" cy="2889250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  <xdr:twoCellAnchor editAs="oneCell">
    <xdr:from>
      <xdr:col>17</xdr:col>
      <xdr:colOff>0</xdr:colOff>
      <xdr:row>15</xdr:row>
      <xdr:rowOff>10584</xdr:rowOff>
    </xdr:from>
    <xdr:to>
      <xdr:col>23</xdr:col>
      <xdr:colOff>76200</xdr:colOff>
      <xdr:row>24</xdr:row>
      <xdr:rowOff>31749</xdr:rowOff>
    </xdr:to>
    <xdr:pic>
      <xdr:nvPicPr>
        <xdr:cNvPr id="4" name="Image 3" descr="coupe.jpg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053667" y="1799167"/>
          <a:ext cx="2965450" cy="1164165"/>
        </a:xfrm>
        <a:prstGeom prst="rect">
          <a:avLst/>
        </a:prstGeom>
        <a:ln>
          <a:noFill/>
        </a:ln>
        <a:effectLst>
          <a:softEdge rad="112500"/>
        </a:effec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tabColor rgb="FF00B0F0"/>
  </sheetPr>
  <dimension ref="B1:GM86"/>
  <sheetViews>
    <sheetView showGridLines="0" tabSelected="1" zoomScale="90" zoomScaleNormal="90" workbookViewId="0">
      <selection activeCell="J40" sqref="J40"/>
    </sheetView>
  </sheetViews>
  <sheetFormatPr baseColWidth="10" defaultColWidth="11.42578125" defaultRowHeight="11.25"/>
  <cols>
    <col min="1" max="1" width="1.28515625" style="9" customWidth="1"/>
    <col min="2" max="2" width="6.28515625" style="10" customWidth="1"/>
    <col min="3" max="3" width="5.42578125" style="11" bestFit="1" customWidth="1"/>
    <col min="4" max="4" width="16.42578125" style="10" customWidth="1"/>
    <col min="5" max="6" width="2.5703125" style="12" customWidth="1"/>
    <col min="7" max="7" width="16.5703125" style="13" customWidth="1"/>
    <col min="8" max="8" width="2.5703125" style="9" customWidth="1"/>
    <col min="9" max="9" width="2.7109375" style="9" customWidth="1"/>
    <col min="10" max="10" width="15.28515625" style="9" customWidth="1"/>
    <col min="11" max="11" width="4" style="9" bestFit="1" customWidth="1"/>
    <col min="12" max="13" width="3.5703125" style="9" bestFit="1" customWidth="1"/>
    <col min="14" max="14" width="3.42578125" style="9" bestFit="1" customWidth="1"/>
    <col min="15" max="15" width="1.28515625" style="9" customWidth="1"/>
    <col min="16" max="18" width="1.5703125" style="9" customWidth="1"/>
    <col min="19" max="19" width="8.5703125" style="9" customWidth="1"/>
    <col min="20" max="20" width="6.42578125" style="9" customWidth="1"/>
    <col min="21" max="21" width="20.42578125" style="9" customWidth="1"/>
    <col min="22" max="22" width="2.5703125" style="9" customWidth="1"/>
    <col min="23" max="23" width="3.7109375" style="9" customWidth="1"/>
    <col min="24" max="24" width="5.5703125" style="9" customWidth="1"/>
    <col min="25" max="26" width="9.5703125" style="9" customWidth="1"/>
    <col min="27" max="27" width="20.42578125" style="9" customWidth="1"/>
    <col min="28" max="28" width="3" style="9" customWidth="1"/>
    <col min="29" max="29" width="3.7109375" style="9" customWidth="1"/>
    <col min="30" max="31" width="9.5703125" style="9" customWidth="1"/>
    <col min="32" max="32" width="16.5703125" style="14" customWidth="1"/>
    <col min="33" max="33" width="38.5703125" style="14" customWidth="1"/>
    <col min="34" max="34" width="7.28515625" style="14" customWidth="1"/>
    <col min="35" max="37" width="9.5703125" style="14" hidden="1" customWidth="1"/>
    <col min="38" max="38" width="5.28515625" style="14" hidden="1" customWidth="1"/>
    <col min="39" max="39" width="11.42578125" style="14" hidden="1" customWidth="1"/>
    <col min="40" max="40" width="3.42578125" style="14" hidden="1" customWidth="1"/>
    <col min="41" max="41" width="3.28515625" style="14" hidden="1" customWidth="1"/>
    <col min="42" max="43" width="3.42578125" style="14" hidden="1" customWidth="1"/>
    <col min="44" max="44" width="5.7109375" style="14" hidden="1" customWidth="1"/>
    <col min="45" max="47" width="4" style="14" hidden="1" customWidth="1"/>
    <col min="48" max="48" width="5.5703125" style="14" hidden="1" customWidth="1"/>
    <col min="49" max="51" width="5.7109375" style="14" hidden="1" customWidth="1"/>
    <col min="52" max="55" width="6" style="14" hidden="1" customWidth="1"/>
    <col min="56" max="59" width="5.42578125" style="14" hidden="1" customWidth="1"/>
    <col min="60" max="60" width="5.7109375" style="14" hidden="1" customWidth="1"/>
    <col min="61" max="71" width="5.5703125" style="14" hidden="1" customWidth="1"/>
    <col min="72" max="75" width="6.5703125" style="14" hidden="1" customWidth="1"/>
    <col min="76" max="76" width="11.42578125" style="9" customWidth="1"/>
    <col min="77" max="16384" width="11.42578125" style="9"/>
  </cols>
  <sheetData>
    <row r="1" spans="2:75" ht="4.3499999999999996" customHeight="1">
      <c r="B1" s="215" t="s">
        <v>106</v>
      </c>
      <c r="C1" s="214"/>
      <c r="D1" s="214"/>
      <c r="E1" s="214"/>
      <c r="F1" s="214"/>
      <c r="G1" s="214"/>
      <c r="H1" s="214"/>
      <c r="I1" s="214"/>
      <c r="J1" s="214"/>
      <c r="K1" s="214"/>
      <c r="L1" s="214"/>
      <c r="M1" s="214"/>
      <c r="N1" s="214"/>
      <c r="O1" s="214"/>
      <c r="P1" s="214"/>
      <c r="Q1" s="214"/>
      <c r="R1" s="214"/>
      <c r="S1" s="214"/>
      <c r="T1" s="214"/>
      <c r="U1" s="214"/>
      <c r="V1" s="214"/>
      <c r="W1" s="214"/>
    </row>
    <row r="2" spans="2:75" ht="9" customHeight="1">
      <c r="B2" s="214"/>
      <c r="C2" s="214"/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</row>
    <row r="3" spans="2:75" ht="16.899999999999999" customHeight="1">
      <c r="B3" s="214"/>
      <c r="C3" s="214"/>
      <c r="D3" s="214"/>
      <c r="E3" s="214"/>
      <c r="F3" s="214"/>
      <c r="G3" s="214"/>
      <c r="H3" s="214"/>
      <c r="I3" s="214"/>
      <c r="J3" s="214"/>
      <c r="K3" s="214"/>
      <c r="L3" s="214"/>
      <c r="M3" s="214"/>
      <c r="N3" s="214"/>
      <c r="O3" s="214"/>
      <c r="P3" s="214"/>
      <c r="Q3" s="214"/>
      <c r="R3" s="214"/>
      <c r="S3" s="214"/>
      <c r="T3" s="214"/>
      <c r="U3" s="214"/>
      <c r="V3" s="214"/>
      <c r="W3" s="214"/>
      <c r="AF3" s="16"/>
      <c r="AG3" s="16"/>
      <c r="AH3" s="16"/>
      <c r="AI3" s="16"/>
      <c r="AJ3" s="16"/>
      <c r="AK3" s="16"/>
      <c r="AL3" s="16"/>
      <c r="AM3" s="16"/>
      <c r="AN3" s="16"/>
      <c r="BC3" s="17"/>
      <c r="BD3" s="18"/>
      <c r="BE3" s="19"/>
      <c r="BF3" s="19"/>
      <c r="BG3" s="19"/>
    </row>
    <row r="4" spans="2:75" ht="11.65" customHeight="1">
      <c r="B4" s="214"/>
      <c r="C4" s="214"/>
      <c r="D4" s="214"/>
      <c r="E4" s="214"/>
      <c r="F4" s="214"/>
      <c r="G4" s="214"/>
      <c r="H4" s="214"/>
      <c r="I4" s="214"/>
      <c r="J4" s="214"/>
      <c r="K4" s="214"/>
      <c r="L4" s="214"/>
      <c r="M4" s="214"/>
      <c r="N4" s="214"/>
      <c r="O4" s="214"/>
      <c r="P4" s="214"/>
      <c r="Q4" s="214"/>
      <c r="R4" s="214"/>
      <c r="S4" s="214"/>
      <c r="T4" s="214"/>
      <c r="U4" s="214"/>
      <c r="V4" s="214"/>
      <c r="W4" s="214"/>
      <c r="AF4" s="20"/>
      <c r="AG4" s="20"/>
      <c r="AH4" s="20"/>
      <c r="AI4" s="20"/>
      <c r="AJ4" s="20"/>
      <c r="AK4" s="20"/>
      <c r="AL4" s="20"/>
      <c r="AM4" s="20"/>
      <c r="AN4" s="20"/>
      <c r="BC4" s="17"/>
      <c r="BD4" s="18"/>
      <c r="BE4" s="19"/>
      <c r="BF4" s="19"/>
      <c r="BG4" s="19"/>
    </row>
    <row r="5" spans="2:75" ht="6" customHeight="1">
      <c r="B5" s="214"/>
      <c r="C5" s="214"/>
      <c r="D5" s="214"/>
      <c r="E5" s="214"/>
      <c r="F5" s="214"/>
      <c r="G5" s="214"/>
      <c r="H5" s="214"/>
      <c r="I5" s="214"/>
      <c r="J5" s="214"/>
      <c r="K5" s="214"/>
      <c r="L5" s="214"/>
      <c r="M5" s="214"/>
      <c r="N5" s="214"/>
      <c r="O5" s="214"/>
      <c r="P5" s="214"/>
      <c r="Q5" s="214"/>
      <c r="R5" s="214"/>
      <c r="S5" s="214"/>
      <c r="T5" s="214"/>
      <c r="U5" s="214"/>
      <c r="V5" s="214"/>
      <c r="W5" s="214"/>
      <c r="BD5" s="19"/>
      <c r="BE5" s="19"/>
      <c r="BF5" s="19"/>
      <c r="BG5" s="19"/>
    </row>
    <row r="6" spans="2:75" ht="3" customHeight="1">
      <c r="B6" s="212"/>
      <c r="C6" s="213"/>
      <c r="D6" s="212"/>
      <c r="E6" s="69"/>
      <c r="F6" s="69"/>
      <c r="G6" s="212"/>
      <c r="H6" s="69"/>
      <c r="I6" s="69"/>
      <c r="J6" s="69"/>
      <c r="K6" s="69"/>
      <c r="L6" s="69"/>
      <c r="M6" s="69"/>
      <c r="N6" s="69"/>
      <c r="O6" s="69"/>
      <c r="P6" s="69"/>
      <c r="Q6" s="69"/>
      <c r="R6" s="69"/>
      <c r="S6" s="69"/>
      <c r="T6" s="69"/>
      <c r="U6" s="69"/>
      <c r="V6" s="69"/>
      <c r="W6" s="69"/>
      <c r="AK6" s="21"/>
      <c r="BD6" s="19"/>
      <c r="BE6" s="19"/>
      <c r="BF6" s="19"/>
      <c r="BG6" s="19"/>
    </row>
    <row r="7" spans="2:75" ht="10.15" customHeight="1">
      <c r="B7" s="105" t="s">
        <v>0</v>
      </c>
      <c r="C7" s="106"/>
      <c r="D7" s="107"/>
      <c r="E7" s="108"/>
      <c r="F7" s="108"/>
      <c r="G7" s="109"/>
      <c r="H7" s="22"/>
      <c r="I7" s="22"/>
      <c r="J7" s="22"/>
      <c r="K7" s="22"/>
      <c r="L7" s="22"/>
      <c r="M7" s="22"/>
      <c r="N7" s="22"/>
      <c r="O7" s="22"/>
      <c r="P7" s="22"/>
      <c r="Q7" s="22"/>
      <c r="R7" s="22"/>
      <c r="S7" s="175" t="s">
        <v>72</v>
      </c>
      <c r="T7" s="176"/>
      <c r="U7" s="176"/>
      <c r="V7" s="177"/>
      <c r="W7" s="135" t="s">
        <v>1</v>
      </c>
      <c r="X7" s="22"/>
      <c r="Y7" s="22"/>
      <c r="Z7" s="22"/>
      <c r="AA7" s="22"/>
      <c r="AB7" s="23"/>
      <c r="AC7" s="23"/>
      <c r="AD7" s="24"/>
      <c r="AE7" s="25"/>
      <c r="AF7" s="25"/>
      <c r="AG7" s="25"/>
      <c r="AK7" s="21" t="s">
        <v>2</v>
      </c>
      <c r="AL7" s="21" t="s">
        <v>3</v>
      </c>
      <c r="AM7" s="21" t="s">
        <v>4</v>
      </c>
      <c r="AN7" s="21" t="s">
        <v>5</v>
      </c>
      <c r="AO7" s="21" t="s">
        <v>6</v>
      </c>
      <c r="AP7" s="21" t="s">
        <v>7</v>
      </c>
      <c r="AQ7" s="21" t="s">
        <v>8</v>
      </c>
      <c r="AR7" s="21" t="s">
        <v>9</v>
      </c>
      <c r="AS7" s="21" t="s">
        <v>10</v>
      </c>
      <c r="AT7" s="21" t="s">
        <v>11</v>
      </c>
      <c r="AU7" s="21" t="s">
        <v>12</v>
      </c>
      <c r="AV7" s="21" t="s">
        <v>13</v>
      </c>
      <c r="AW7" s="21" t="s">
        <v>14</v>
      </c>
      <c r="AX7" s="21" t="s">
        <v>15</v>
      </c>
      <c r="AY7" s="21" t="s">
        <v>16</v>
      </c>
      <c r="AZ7" s="21" t="s">
        <v>17</v>
      </c>
      <c r="BA7" s="21" t="s">
        <v>18</v>
      </c>
      <c r="BB7" s="21" t="s">
        <v>19</v>
      </c>
      <c r="BC7" s="21" t="s">
        <v>20</v>
      </c>
      <c r="BD7" s="21" t="s">
        <v>21</v>
      </c>
      <c r="BE7" s="21" t="s">
        <v>22</v>
      </c>
      <c r="BF7" s="21" t="s">
        <v>23</v>
      </c>
      <c r="BG7" s="21" t="s">
        <v>24</v>
      </c>
      <c r="BH7" s="21" t="s">
        <v>25</v>
      </c>
      <c r="BI7" s="21" t="s">
        <v>26</v>
      </c>
      <c r="BJ7" s="21" t="s">
        <v>27</v>
      </c>
      <c r="BK7" s="21" t="s">
        <v>28</v>
      </c>
      <c r="BL7" s="21" t="s">
        <v>29</v>
      </c>
      <c r="BM7" s="21" t="s">
        <v>30</v>
      </c>
      <c r="BN7" s="21" t="s">
        <v>31</v>
      </c>
      <c r="BO7" s="21" t="s">
        <v>32</v>
      </c>
      <c r="BP7" s="21" t="s">
        <v>33</v>
      </c>
      <c r="BQ7" s="21" t="s">
        <v>34</v>
      </c>
      <c r="BR7" s="21" t="s">
        <v>33</v>
      </c>
      <c r="BS7" s="21" t="s">
        <v>34</v>
      </c>
      <c r="BU7" s="14">
        <f>IF($BM9,IF(E8-F8&lt;0,-0.5,IF(F8-E8&lt;0,0.5,0)),IF($BI9,IF($AZ9&gt;$AZ10,-0.5,IF($AZ9&lt;$AZ10,0.5,0)),IF($BJ9,IF($BA9&gt;$BA10,-0.5, IF($BA9&lt;$BA10,0.5,0)),0)))</f>
        <v>0</v>
      </c>
      <c r="BW7" s="14">
        <f>F12-E12</f>
        <v>0</v>
      </c>
    </row>
    <row r="8" spans="2:75" ht="10.15" customHeight="1">
      <c r="B8" s="110">
        <v>42021</v>
      </c>
      <c r="C8" s="111">
        <v>0.70833333333333337</v>
      </c>
      <c r="D8" s="112" t="s">
        <v>87</v>
      </c>
      <c r="E8" s="141"/>
      <c r="F8" s="141"/>
      <c r="G8" s="113" t="s">
        <v>88</v>
      </c>
      <c r="H8" s="22"/>
      <c r="I8" s="22"/>
      <c r="J8" s="134" t="s">
        <v>0</v>
      </c>
      <c r="K8" s="134" t="s">
        <v>35</v>
      </c>
      <c r="L8" s="134" t="s">
        <v>34</v>
      </c>
      <c r="M8" s="134" t="s">
        <v>21</v>
      </c>
      <c r="N8" s="135" t="str">
        <f>"+/-"</f>
        <v>+/-</v>
      </c>
      <c r="O8" s="22"/>
      <c r="P8" s="22"/>
      <c r="Q8" s="22"/>
      <c r="R8" s="22"/>
      <c r="S8" s="179">
        <v>42035</v>
      </c>
      <c r="T8" s="178">
        <v>0.70833333333333337</v>
      </c>
      <c r="U8" s="139" t="str">
        <f>IF(OR(I10&lt;2),"A1",T(J9))</f>
        <v>A1</v>
      </c>
      <c r="V8" s="7"/>
      <c r="W8" s="8"/>
      <c r="X8" s="22"/>
      <c r="Y8" s="22"/>
      <c r="Z8" s="22"/>
      <c r="AA8" s="22"/>
      <c r="AB8" s="22"/>
      <c r="AC8" s="22"/>
      <c r="AK8" s="21"/>
      <c r="AL8" s="27" t="s">
        <v>36</v>
      </c>
      <c r="AM8" s="28" t="s">
        <v>37</v>
      </c>
      <c r="AN8" s="29" t="s">
        <v>35</v>
      </c>
      <c r="AO8" s="27" t="s">
        <v>38</v>
      </c>
      <c r="AP8" s="29" t="s">
        <v>39</v>
      </c>
      <c r="AQ8" s="30" t="s">
        <v>40</v>
      </c>
      <c r="AR8" s="29" t="s">
        <v>41</v>
      </c>
      <c r="AS8" s="29" t="s">
        <v>42</v>
      </c>
      <c r="AT8" s="29" t="s">
        <v>43</v>
      </c>
      <c r="AU8" s="29" t="s">
        <v>44</v>
      </c>
      <c r="AV8" s="27" t="s">
        <v>45</v>
      </c>
      <c r="AW8" s="29" t="s">
        <v>46</v>
      </c>
      <c r="AX8" s="29" t="s">
        <v>47</v>
      </c>
      <c r="AY8" s="30" t="s">
        <v>48</v>
      </c>
      <c r="AZ8" s="27" t="s">
        <v>49</v>
      </c>
      <c r="BA8" s="29" t="s">
        <v>50</v>
      </c>
      <c r="BB8" s="29" t="s">
        <v>51</v>
      </c>
      <c r="BC8" s="30" t="s">
        <v>52</v>
      </c>
      <c r="BD8" s="27" t="s">
        <v>53</v>
      </c>
      <c r="BE8" s="29" t="s">
        <v>54</v>
      </c>
      <c r="BF8" s="29" t="s">
        <v>55</v>
      </c>
      <c r="BG8" s="30" t="s">
        <v>56</v>
      </c>
      <c r="BH8" s="27" t="s">
        <v>57</v>
      </c>
      <c r="BI8" s="29" t="s">
        <v>49</v>
      </c>
      <c r="BJ8" s="29" t="s">
        <v>50</v>
      </c>
      <c r="BK8" s="29" t="s">
        <v>51</v>
      </c>
      <c r="BL8" s="29" t="s">
        <v>52</v>
      </c>
      <c r="BM8" s="29" t="s">
        <v>58</v>
      </c>
      <c r="BN8" s="29" t="s">
        <v>59</v>
      </c>
      <c r="BO8" s="29" t="s">
        <v>60</v>
      </c>
      <c r="BP8" s="29" t="s">
        <v>61</v>
      </c>
      <c r="BQ8" s="29" t="s">
        <v>62</v>
      </c>
      <c r="BR8" s="29" t="s">
        <v>63</v>
      </c>
      <c r="BS8" s="29" t="s">
        <v>64</v>
      </c>
      <c r="BT8" s="27" t="s">
        <v>65</v>
      </c>
      <c r="BU8" s="29" t="s">
        <v>66</v>
      </c>
      <c r="BV8" s="29" t="s">
        <v>67</v>
      </c>
      <c r="BW8" s="30" t="s">
        <v>68</v>
      </c>
    </row>
    <row r="9" spans="2:75" ht="10.15" customHeight="1">
      <c r="B9" s="114">
        <v>42021</v>
      </c>
      <c r="C9" s="115">
        <v>0.83333333333333337</v>
      </c>
      <c r="D9" s="116" t="s">
        <v>89</v>
      </c>
      <c r="E9" s="141"/>
      <c r="F9" s="141"/>
      <c r="G9" s="117" t="s">
        <v>90</v>
      </c>
      <c r="H9" s="22"/>
      <c r="I9" s="132">
        <f>AI9</f>
        <v>1</v>
      </c>
      <c r="J9" s="123" t="str">
        <f>INDEX(AM9:AM12,MATCH(AK9,$AL9:$AL12,0))</f>
        <v>EQUATORIAL GUINEA</v>
      </c>
      <c r="K9" s="124">
        <f>INDEX(AN9:AN12,MATCH(AK9,$AL9:$AL12,0))</f>
        <v>0</v>
      </c>
      <c r="L9" s="125">
        <f>INDEX(AO9:AO12,MATCH(AK9,$AL9:$AL12,0))</f>
        <v>0</v>
      </c>
      <c r="M9" s="124">
        <f>INDEX(AP9:AP12,MATCH(AK9,$AL9:$AL12,0))</f>
        <v>0</v>
      </c>
      <c r="N9" s="126">
        <f>INDEX(AQ9:AQ12,MATCH(AK9,$AL9:$AL12,0))</f>
        <v>0</v>
      </c>
      <c r="O9" s="22"/>
      <c r="P9" s="22"/>
      <c r="Q9" s="22"/>
      <c r="R9" s="22"/>
      <c r="S9" s="170"/>
      <c r="T9" s="169"/>
      <c r="U9" s="139" t="str">
        <f>IF(OR(I19&lt;3,I18&lt;2),"B2",T(J18))</f>
        <v>B2</v>
      </c>
      <c r="V9" s="142"/>
      <c r="W9" s="8"/>
      <c r="X9" s="22"/>
      <c r="Y9" s="22"/>
      <c r="Z9" s="22"/>
      <c r="AA9" s="22"/>
      <c r="AB9" s="22"/>
      <c r="AC9" s="22"/>
      <c r="AI9" s="37">
        <v>1</v>
      </c>
      <c r="AJ9" s="38">
        <f>ROUND(AK9,0)</f>
        <v>2</v>
      </c>
      <c r="AK9" s="39">
        <f>MIN(AL9:AL12)</f>
        <v>2.4500000000000002</v>
      </c>
      <c r="AL9" s="40">
        <f>SUM(BD9:BG9)+2.45</f>
        <v>2.4500000000000002</v>
      </c>
      <c r="AM9" s="41" t="str">
        <f>D8</f>
        <v>EQUATORIAL GUINEA</v>
      </c>
      <c r="AN9" s="42">
        <f>SUM(AR9:AU9)</f>
        <v>0</v>
      </c>
      <c r="AO9" s="43">
        <f>E8+E10+F12</f>
        <v>0</v>
      </c>
      <c r="AP9" s="42">
        <f>F8+F10+E12</f>
        <v>0</v>
      </c>
      <c r="AQ9" s="44">
        <f>AO9-AP9</f>
        <v>0</v>
      </c>
      <c r="AR9" s="42" t="s">
        <v>69</v>
      </c>
      <c r="AS9" s="42">
        <f>IF(ISBLANK(E8),0,IF(E8&gt;F8,3,IF(E8=F8,1,0)))</f>
        <v>0</v>
      </c>
      <c r="AT9" s="42">
        <f>IF(ISBLANK(E10),0,IF(E10&gt;F10,3,IF(E10=F10,1,0)))</f>
        <v>0</v>
      </c>
      <c r="AU9" s="42">
        <f>IF(ISBLANK(F12),0,IF(F12&gt;E12,3,IF(F12=E12,1,0)))</f>
        <v>0</v>
      </c>
      <c r="AV9" s="43" t="s">
        <v>69</v>
      </c>
      <c r="AW9" s="42" t="b">
        <f>(10*(AQ9-AQ10)+AO9-AO10&gt;0)</f>
        <v>0</v>
      </c>
      <c r="AX9" s="42" t="b">
        <f>10*(AQ9-AQ11)+AO9-AO11&gt;0</f>
        <v>0</v>
      </c>
      <c r="AY9" s="44" t="b">
        <f>10*(AQ9-AQ12)+AO9-AO12&gt;0</f>
        <v>0</v>
      </c>
      <c r="AZ9" s="43">
        <f>10000*(AS9+AT9)+(E10-F10+E8-F8)*100+(E10+E8)</f>
        <v>0</v>
      </c>
      <c r="BA9" s="42">
        <f>10000*(AS9+AU9)+(E8-F8+F12-E12)*100+(E8+F12)</f>
        <v>0</v>
      </c>
      <c r="BB9" s="42">
        <f>10000*(AT9+AU9)+(E10-F10+F12-E12)*100+(E10+F12)</f>
        <v>0</v>
      </c>
      <c r="BC9" s="44" t="s">
        <v>69</v>
      </c>
      <c r="BD9" s="43" t="s">
        <v>69</v>
      </c>
      <c r="BE9" s="45">
        <f>IF($AN9&gt;$AN10,-0.5,IF($AN10&gt;$AN9,0.5,IF(AW9,-0.5,IF(AV10,0.5,BU9))))</f>
        <v>0</v>
      </c>
      <c r="BF9" s="45">
        <f>IF($AN9&gt;$AN11,-0.5,IF($AN11&gt;$AN9,0.5,IF(AX9,-0.5,IF(AV11,0.5,BV9))))</f>
        <v>0</v>
      </c>
      <c r="BG9" s="46">
        <f>IF($AN9&gt;$AN12,-0.5,IF($AN12&gt;$AN9,0.5,IF(AY9,-0.5,IF(AV12,0.5,BW9))))</f>
        <v>0</v>
      </c>
      <c r="BH9" s="47" t="b">
        <f>AND(AND(AN9=AN10,AN10=AN11,AN11=AN12),AND(AO9=AO10,AO10=AO11,AO11=AO12),AND(AP9=AP10,AP10=AP11,AP11=AP12))</f>
        <v>1</v>
      </c>
      <c r="BI9" s="47" t="b">
        <f>AND(NOT(BH9),AN9=AN10,AN9=AN11,AO9=AO10,AO9=AO11,AP9=AP10,AP9=AP11)</f>
        <v>0</v>
      </c>
      <c r="BJ9" s="47" t="b">
        <f>AND(NOT(BH9),AN9=AN10,AN9=AN12,AO9=AO10,AO9=AO12,AP9=AP10,AP9=AP12)</f>
        <v>0</v>
      </c>
      <c r="BK9" s="47" t="b">
        <f>AND(NOT(BH9),AN9=AN11,AN9=AN12,AO9=AO11,AO9=AO12,AP9=AP11,AP9=AP12)</f>
        <v>0</v>
      </c>
      <c r="BL9" s="47" t="b">
        <f>AND(NOT(BH9),AN10=AN11,AN10=AN12,AO10=AO11,AO10=AO12,AP10=AP11,AP10=AP12)</f>
        <v>0</v>
      </c>
      <c r="BM9" s="47" t="b">
        <f>AND(NOT(BH9),NOT(BI9),NOT(BJ9),AN9=AN10,AO9=AO10,AP9=AP10)</f>
        <v>0</v>
      </c>
      <c r="BN9" s="47" t="b">
        <f>AND(NOT(BH9),NOT(BI9),NOT(BK9),AN9=AN11,AO9=AO11,AP9=AP11)</f>
        <v>0</v>
      </c>
      <c r="BO9" s="47" t="b">
        <f>AND(NOT(BH9),NOT(BJ9),NOT(BK9),AN9=AN12,AO9=AO12,AP9=AP12)</f>
        <v>0</v>
      </c>
      <c r="BP9" s="47" t="b">
        <f>AND(NOT(BH9),NOT(BI9),NOT(BL9),AN10=AN11,AO10=AO11)</f>
        <v>0</v>
      </c>
      <c r="BQ9" s="47" t="b">
        <f>AND(NOT(BH9),NOT(BJ9),NOT(BL9),AN10=AN12,AO10=AO12,AP10=AP12)</f>
        <v>0</v>
      </c>
      <c r="BR9" s="47" t="b">
        <f>AND(NOT(BH9),NOT(BK9),NOT(BL9),AN11=AN12,AO11=AO12,AP11=AP12)</f>
        <v>0</v>
      </c>
      <c r="BS9" s="47" t="b">
        <f t="array" ref="BS9">AND(NOT(BH9:BR9))</f>
        <v>0</v>
      </c>
      <c r="BT9" s="43" t="s">
        <v>69</v>
      </c>
      <c r="BU9" s="42">
        <f>IF($BM9,IF(F8-E8&lt;0,-0.5,IF(E8-F8&lt;0,0.5,0)),IF($BI9,IF($AZ9&gt;$AZ10,-0.5,IF($AZ9&lt;$AZ10,0.5,0)),IF($BJ9,IF($BA9&gt;$BA10,-0.5, IF($BA9&lt;$BA10,0.5,0)),0)))</f>
        <v>0</v>
      </c>
      <c r="BV9" s="42">
        <f>IF($BN9,IF(F10-E10&lt;0,-0.5,IF(E10-F10&lt;0,0.5,0)),IF($BI9,IF($AZ9&gt;$AZ11,-0.5,IF($AZ9&lt;$AZ11,0.5,0)),IF($BK9,IF($BB9&gt;$BB11,-0.5,IF($BB9&lt;$BB11,0.5,0)),0)))</f>
        <v>0</v>
      </c>
      <c r="BW9" s="44">
        <f>IF($BO9,IF(E12-F12&lt;0,-0.5,IF(F12-E12&lt;0,0.5,0)),IF($BJ9,IF($BA9&gt;$BA12,-0.5,IF($BA9&lt;$BA12,0.5,0)),IF($BK9,IF($BB9&gt;$BB12,-0.5, IF($BB9&lt;$BB12,0.5,0)),0)))</f>
        <v>0</v>
      </c>
    </row>
    <row r="10" spans="2:75" ht="10.15" customHeight="1">
      <c r="B10" s="114">
        <v>42025</v>
      </c>
      <c r="C10" s="115">
        <v>0.70833333333333337</v>
      </c>
      <c r="D10" s="116" t="str">
        <f>D8</f>
        <v>EQUATORIAL GUINEA</v>
      </c>
      <c r="E10" s="141"/>
      <c r="F10" s="141"/>
      <c r="G10" s="117" t="str">
        <f>D9</f>
        <v>BURKINA FASO</v>
      </c>
      <c r="H10" s="22"/>
      <c r="I10" s="133">
        <f>AI10</f>
        <v>1</v>
      </c>
      <c r="J10" s="128" t="str">
        <f>INDEX(AM9:AM12,MATCH(AK10,$AL9:$AL12,0))</f>
        <v>CONGO</v>
      </c>
      <c r="K10" s="129">
        <f>INDEX(AN9:AN12,MATCH(AK10,$AL9:$AL12,0))</f>
        <v>0</v>
      </c>
      <c r="L10" s="130">
        <f>INDEX(AO9:AO12,MATCH(AK10,$AL9:$AL12,0))</f>
        <v>0</v>
      </c>
      <c r="M10" s="129">
        <f>INDEX(AP9:AP12,MATCH(AK10,$AL9:$AL12,0))</f>
        <v>0</v>
      </c>
      <c r="N10" s="131">
        <f>INDEX(AQ9:AQ12,MATCH(AK10,$AL9:$AL12,0))</f>
        <v>0</v>
      </c>
      <c r="O10" s="22"/>
      <c r="P10" s="22"/>
      <c r="Q10" s="22"/>
      <c r="R10" s="22"/>
      <c r="S10" s="171">
        <v>42035</v>
      </c>
      <c r="T10" s="173">
        <v>0.83333333333333337</v>
      </c>
      <c r="U10" s="139" t="str">
        <f>IF(OR(I26&lt;2),"C1",T(J25))</f>
        <v>C1</v>
      </c>
      <c r="V10" s="7"/>
      <c r="W10" s="8"/>
      <c r="X10" s="22"/>
      <c r="Y10" s="22"/>
      <c r="Z10" s="22"/>
      <c r="AA10" s="22"/>
      <c r="AB10" s="22"/>
      <c r="AC10" s="22"/>
      <c r="AI10" s="37">
        <f>IF(ROUND(AK10,0)=ROUND(AK9,0),AI9,2)</f>
        <v>1</v>
      </c>
      <c r="AJ10" s="38">
        <f>ROUND(AK10,0)</f>
        <v>2</v>
      </c>
      <c r="AK10" s="39">
        <f>MAX(MIN(AL9:AL11),MIN(AL9,AL10,AL12),MIN(AL9,AL11,AL12),MIN(AL10:AL12))</f>
        <v>2.46</v>
      </c>
      <c r="AL10" s="53">
        <f>SUM(BD10:BG10)+2.46</f>
        <v>2.46</v>
      </c>
      <c r="AM10" s="41" t="str">
        <f>G8</f>
        <v>CONGO</v>
      </c>
      <c r="AN10" s="42">
        <f>SUM(AR10:AU10)</f>
        <v>0</v>
      </c>
      <c r="AO10" s="43">
        <f>F8+F11+E13</f>
        <v>0</v>
      </c>
      <c r="AP10" s="42">
        <f>E8+E11+F13</f>
        <v>0</v>
      </c>
      <c r="AQ10" s="44">
        <f>AO10-AP10</f>
        <v>0</v>
      </c>
      <c r="AR10" s="42">
        <f>IF(ISBLANK(F8),0,IF(AS9=3,0,IF(AS9=1,1,3)))</f>
        <v>0</v>
      </c>
      <c r="AS10" s="42" t="s">
        <v>69</v>
      </c>
      <c r="AT10" s="42">
        <f>IF(ISBLANK(E13),0,IF(AS11=3,0,IF(AS11=1,1,3)))</f>
        <v>0</v>
      </c>
      <c r="AU10" s="42">
        <f>IF(ISBLANK(F11),0,IF(F11&gt;E11,3,IF(F11=E11,1,0)))</f>
        <v>0</v>
      </c>
      <c r="AV10" s="43" t="b">
        <f>(10*(AQ9-AQ10)+AO9-AO10&lt;0)</f>
        <v>0</v>
      </c>
      <c r="AW10" s="42" t="s">
        <v>69</v>
      </c>
      <c r="AX10" s="42" t="b">
        <f>10*(AQ10-AQ11)+AO10-AO11&gt;0</f>
        <v>0</v>
      </c>
      <c r="AY10" s="44" t="b">
        <f>10*(AQ10-AQ12)+AO10-AO12&gt;0</f>
        <v>0</v>
      </c>
      <c r="AZ10" s="43">
        <f>10000*(AR10+AT10)+(F8-E8+E13-F13)*100+(F8+E13)</f>
        <v>0</v>
      </c>
      <c r="BA10" s="42">
        <f>10000*(AR10+AU10)+(F8-E8+F11-E11)*100+(F8+F11)</f>
        <v>0</v>
      </c>
      <c r="BB10" s="42" t="s">
        <v>69</v>
      </c>
      <c r="BC10" s="44">
        <f>10000*(AT10+AU10)+(F11-E11+E13-F13)*100+(F11+E13)</f>
        <v>0</v>
      </c>
      <c r="BD10" s="54">
        <f>-BE9</f>
        <v>0</v>
      </c>
      <c r="BE10" s="42" t="s">
        <v>69</v>
      </c>
      <c r="BF10" s="45">
        <f>IF($AN10&gt;$AN11,-0.5,IF($AN11&gt;$AN10,0.5,IF(AX10,-0.5,IF(AW11,0.5,BV10))))</f>
        <v>0</v>
      </c>
      <c r="BG10" s="46">
        <f>IF($AN10&gt;$AN12,-0.5,IF($AN12&gt;$AN10,0.5,IF(AY10,-0.5,IF(AW12,0.5,BW10))))</f>
        <v>0</v>
      </c>
      <c r="BH10" s="21"/>
      <c r="BI10" s="21"/>
      <c r="BJ10" s="21"/>
      <c r="BK10" s="21"/>
      <c r="BL10" s="21"/>
      <c r="BM10" s="21"/>
      <c r="BN10" s="21"/>
      <c r="BO10" s="21"/>
      <c r="BP10" s="21"/>
      <c r="BQ10" s="21"/>
      <c r="BR10" s="21"/>
      <c r="BS10" s="21"/>
      <c r="BT10" s="43"/>
      <c r="BU10" s="42" t="s">
        <v>69</v>
      </c>
      <c r="BV10" s="42">
        <f>IF($BP9,IF(F13-E13&lt;0,-0.5,IF(E13-F13&lt;0,0.5,0)),IF($BI9,IF($AZ10&gt;$AZ11,-0.5,IF($AZ10&lt;$AZ11,0.5,0)),IF($BL9,IF($BC10&gt;$BC11,-0.5,IF($BC10&lt;$BC11,0.5,0)),0)))</f>
        <v>0</v>
      </c>
      <c r="BW10" s="44">
        <f>IF($BQ9,IF(E11-F11&lt;0,-0.5,IF(F11-E11&lt;0,0.5,0)),IF($BJ9,IF($BA10&gt;$BA12,-0.5,IF($BA10&lt;$BA12,0.5,0)),IF($BL9,IF($BC10&gt;$BC12,-0.5,IF($BC10&lt;$BC12,0.5,0)),0)))</f>
        <v>0</v>
      </c>
    </row>
    <row r="11" spans="2:75" ht="10.15" customHeight="1">
      <c r="B11" s="114">
        <v>42025</v>
      </c>
      <c r="C11" s="115">
        <v>0.83333333333333337</v>
      </c>
      <c r="D11" s="116" t="str">
        <f>G9</f>
        <v>GABON</v>
      </c>
      <c r="E11" s="141"/>
      <c r="F11" s="141"/>
      <c r="G11" s="117" t="str">
        <f>G8</f>
        <v>CONGO</v>
      </c>
      <c r="H11" s="22"/>
      <c r="I11" s="122">
        <f>AI11</f>
        <v>1</v>
      </c>
      <c r="J11" s="123" t="str">
        <f>INDEX(AM9:AM12,MATCH(AK11,$AL9:$AL12,0))</f>
        <v>BURKINA FASO</v>
      </c>
      <c r="K11" s="124">
        <f>INDEX(AN9:AN12,MATCH(AK11,$AL9:$AL12,0))</f>
        <v>0</v>
      </c>
      <c r="L11" s="125">
        <f>INDEX(AO9:AO12,MATCH(AK11,$AL9:$AL12,0))</f>
        <v>0</v>
      </c>
      <c r="M11" s="124">
        <f>INDEX(AP9:AP12,MATCH(AK11,$AL9:$AL12,0))</f>
        <v>0</v>
      </c>
      <c r="N11" s="126">
        <f>INDEX(AQ9:AQ12,MATCH(AK11,$AL9:$AL12,0))</f>
        <v>0</v>
      </c>
      <c r="O11" s="22"/>
      <c r="P11" s="22"/>
      <c r="Q11" s="22"/>
      <c r="R11" s="22"/>
      <c r="S11" s="171"/>
      <c r="T11" s="173"/>
      <c r="U11" s="139" t="str">
        <f>IF(OR(I35&lt;3,I34&lt;2),"D2",T(J34))</f>
        <v>D2</v>
      </c>
      <c r="V11" s="142"/>
      <c r="W11" s="8"/>
      <c r="X11" s="22"/>
      <c r="Y11" s="22"/>
      <c r="Z11" s="22"/>
      <c r="AA11" s="22"/>
      <c r="AB11" s="22"/>
      <c r="AC11" s="22"/>
      <c r="AI11" s="37">
        <f>IF(ROUND(AK11,0)=ROUND(AK10,0),AI10,3)</f>
        <v>1</v>
      </c>
      <c r="AJ11" s="38">
        <f>ROUND(AK11,0)</f>
        <v>2</v>
      </c>
      <c r="AK11" s="39">
        <f>MIN(MAX(AL9:AL11),MAX(AL9,AL10,AL12),MAX(AL9,AL11,AL12),MAX(AL10:AL12))</f>
        <v>2.4700000000000002</v>
      </c>
      <c r="AL11" s="53">
        <f>SUM(BD11:BG11)+2.47</f>
        <v>2.4700000000000002</v>
      </c>
      <c r="AM11" s="41" t="str">
        <f>D9</f>
        <v>BURKINA FASO</v>
      </c>
      <c r="AN11" s="42">
        <f>SUM(AR11:AU11)</f>
        <v>0</v>
      </c>
      <c r="AO11" s="43">
        <f>E9+F10+F13</f>
        <v>0</v>
      </c>
      <c r="AP11" s="42">
        <f>F9+E10+E13</f>
        <v>0</v>
      </c>
      <c r="AQ11" s="44">
        <f>AO11-AP11</f>
        <v>0</v>
      </c>
      <c r="AR11" s="42">
        <f>IF(ISBLANK(F10),0,IF(AT9=3,0,IF(AT9=1,1,3)))</f>
        <v>0</v>
      </c>
      <c r="AS11" s="42">
        <f>IF(ISBLANK(F13),0,IF(F13&gt;E13,3,IF(F13=E13,1,0)))</f>
        <v>0</v>
      </c>
      <c r="AT11" s="42" t="s">
        <v>69</v>
      </c>
      <c r="AU11" s="42">
        <f>IF(ISBLANK(E9),0,IF(E9&gt;F9,3,IF(E9=F9,1,0)))</f>
        <v>0</v>
      </c>
      <c r="AV11" s="43" t="b">
        <f>10*(AQ9-AQ11)+AO9-AO11&lt;0</f>
        <v>0</v>
      </c>
      <c r="AW11" s="42" t="b">
        <f>10*(AQ10-AQ11)+AO10-AO11&lt;0</f>
        <v>0</v>
      </c>
      <c r="AX11" s="42" t="s">
        <v>69</v>
      </c>
      <c r="AY11" s="44" t="b">
        <f>10*(AQ11-AQ12)+AO11-AO12&gt;0</f>
        <v>0</v>
      </c>
      <c r="AZ11" s="43">
        <f>10000*(AR11+AS11)+(F10-E10+F13-E13)*100+(F10+F13)</f>
        <v>0</v>
      </c>
      <c r="BA11" s="42" t="s">
        <v>69</v>
      </c>
      <c r="BB11" s="42">
        <f>10000*(AR11+AU11)+(E9-F9+F10-E10)*100+(E9+F10)</f>
        <v>0</v>
      </c>
      <c r="BC11" s="44">
        <f>10000*(AS11+AU11)+(E9-F9+F13-E13)*100+(E9+F13)</f>
        <v>0</v>
      </c>
      <c r="BD11" s="54">
        <f>-BF9</f>
        <v>0</v>
      </c>
      <c r="BE11" s="45">
        <f>-BF10</f>
        <v>0</v>
      </c>
      <c r="BF11" s="45" t="s">
        <v>69</v>
      </c>
      <c r="BG11" s="46">
        <f>IF($AN11&gt;$AN12,-0.5,IF($AN12&gt;$AN11,0.5,IF(AY11,-0.5,IF(AX12,0.5,BW11))))</f>
        <v>0</v>
      </c>
      <c r="BH11" s="21"/>
      <c r="BI11" s="21"/>
      <c r="BJ11" s="21"/>
      <c r="BK11" s="21"/>
      <c r="BL11" s="21"/>
      <c r="BM11" s="21"/>
      <c r="BN11" s="21"/>
      <c r="BO11" s="21"/>
      <c r="BP11" s="21"/>
      <c r="BQ11" s="21"/>
      <c r="BR11" s="21"/>
      <c r="BS11" s="21"/>
      <c r="BT11" s="43"/>
      <c r="BU11" s="42"/>
      <c r="BV11" s="42" t="s">
        <v>69</v>
      </c>
      <c r="BW11" s="44">
        <f>IF($BR9,IF(F9-E9&lt;0,-0.5,IF(E9-F9&lt;0,0.5,0)),IF($BK9,IF($BB11&gt;$BB12,-0.5,IF($BB11&lt;$BB12,0.5,0)),IF($BL9,IF($BC11&gt;$BC12,-0.5,IF($BC11&lt;$BC12,0.5,0)),0)))</f>
        <v>0</v>
      </c>
    </row>
    <row r="12" spans="2:75" ht="10.15" customHeight="1">
      <c r="B12" s="114">
        <v>42029</v>
      </c>
      <c r="C12" s="115">
        <v>0.79166666666666663</v>
      </c>
      <c r="D12" s="116" t="str">
        <f>G9</f>
        <v>GABON</v>
      </c>
      <c r="E12" s="141"/>
      <c r="F12" s="141"/>
      <c r="G12" s="117" t="str">
        <f>D8</f>
        <v>EQUATORIAL GUINEA</v>
      </c>
      <c r="H12" s="22"/>
      <c r="I12" s="127">
        <f>AI12</f>
        <v>1</v>
      </c>
      <c r="J12" s="128" t="str">
        <f>INDEX(AM9:AM12,MATCH(AK12,$AL9:$AL12,0))</f>
        <v>GABON</v>
      </c>
      <c r="K12" s="129">
        <f>INDEX(AN9:AN12,MATCH(AK12,$AL9:$AL12,0))</f>
        <v>0</v>
      </c>
      <c r="L12" s="130">
        <f>INDEX(AO9:AO12,MATCH(AK12,$AL9:$AL12,0))</f>
        <v>0</v>
      </c>
      <c r="M12" s="129">
        <f>INDEX(AP9:AP12,MATCH(AK12,$AL9:$AL12,0))</f>
        <v>0</v>
      </c>
      <c r="N12" s="131">
        <f>INDEX(AQ9:AQ12,MATCH(AK12,$AL9:$AL12,0))</f>
        <v>0</v>
      </c>
      <c r="O12" s="22"/>
      <c r="P12" s="22"/>
      <c r="Q12" s="22"/>
      <c r="R12" s="22"/>
      <c r="S12" s="170">
        <v>42036</v>
      </c>
      <c r="T12" s="169">
        <v>0.70833333333333337</v>
      </c>
      <c r="U12" s="139" t="str">
        <f>IF(OR(I18&lt;2),"B1",T(J17))</f>
        <v>B1</v>
      </c>
      <c r="V12" s="7"/>
      <c r="W12" s="8"/>
      <c r="X12" s="22"/>
      <c r="Y12" s="22"/>
      <c r="Z12" s="22"/>
      <c r="AA12" s="22"/>
      <c r="AB12" s="22"/>
      <c r="AC12" s="22"/>
      <c r="AI12" s="37">
        <f>IF(ROUND(AK12,0)=ROUND(AK11,0),AI11,4)</f>
        <v>1</v>
      </c>
      <c r="AJ12" s="38">
        <f>ROUND(AK12,0)</f>
        <v>2</v>
      </c>
      <c r="AK12" s="39">
        <f>MAX(AL9:AL12)</f>
        <v>2.48</v>
      </c>
      <c r="AL12" s="63">
        <f>SUM(BD12:BG12)+2.48</f>
        <v>2.48</v>
      </c>
      <c r="AM12" s="64" t="str">
        <f>G9</f>
        <v>GABON</v>
      </c>
      <c r="AN12" s="47">
        <f>SUM(AR12:AU12)</f>
        <v>0</v>
      </c>
      <c r="AO12" s="65">
        <f>F9+E11+E12</f>
        <v>0</v>
      </c>
      <c r="AP12" s="47">
        <f>E9+F11+F12</f>
        <v>0</v>
      </c>
      <c r="AQ12" s="66">
        <f>AO12-AP12</f>
        <v>0</v>
      </c>
      <c r="AR12" s="47">
        <f>IF(ISBLANK(E12),0,IF(AU9=3,0,IF(AU9=1,1,3)))</f>
        <v>0</v>
      </c>
      <c r="AS12" s="47">
        <f>IF(ISBLANK(E11),0,IF(AU10=3,0,IF(AU10=1,1,3)))</f>
        <v>0</v>
      </c>
      <c r="AT12" s="47">
        <f>IF(ISBLANK(F9),0,IF(AU11=3,0,IF(AU11=1,1,3)))</f>
        <v>0</v>
      </c>
      <c r="AU12" s="47" t="s">
        <v>69</v>
      </c>
      <c r="AV12" s="65" t="b">
        <f>10*(AQ9-AQ12)+AO9-AO12&lt;0</f>
        <v>0</v>
      </c>
      <c r="AW12" s="47" t="b">
        <f>10*(AQ10-AQ12)+AO10-AO12&lt;0</f>
        <v>0</v>
      </c>
      <c r="AX12" s="47" t="b">
        <f>10*(AQ11-AQ12)+AO11-AO12&lt;0</f>
        <v>0</v>
      </c>
      <c r="AY12" s="66" t="s">
        <v>69</v>
      </c>
      <c r="AZ12" s="65" t="s">
        <v>69</v>
      </c>
      <c r="BA12" s="47">
        <f>10000*(AR12+AS12)+(E12-F12+E11-F11)*100+(E12+E11)</f>
        <v>0</v>
      </c>
      <c r="BB12" s="47">
        <f>10000*(AR12+AT12)+(F9-E9+E12-F12)*100+(F9+E12)</f>
        <v>0</v>
      </c>
      <c r="BC12" s="66">
        <f>10000*(AS12+AT12)+(E11-F11+F9-E9)*100+(E11+F9)</f>
        <v>0</v>
      </c>
      <c r="BD12" s="67">
        <f>-BG9</f>
        <v>0</v>
      </c>
      <c r="BE12" s="68">
        <f>-BG10</f>
        <v>0</v>
      </c>
      <c r="BF12" s="68">
        <f>-BG11</f>
        <v>0</v>
      </c>
      <c r="BG12" s="66" t="s">
        <v>69</v>
      </c>
      <c r="BH12" s="21"/>
      <c r="BI12" s="21"/>
      <c r="BJ12" s="21"/>
      <c r="BK12" s="21"/>
      <c r="BL12" s="21"/>
      <c r="BM12" s="21"/>
      <c r="BN12" s="21"/>
      <c r="BO12" s="21"/>
      <c r="BP12" s="21"/>
      <c r="BQ12" s="21"/>
      <c r="BR12" s="21"/>
      <c r="BS12" s="21"/>
      <c r="BT12" s="65"/>
      <c r="BU12" s="47"/>
      <c r="BV12" s="47"/>
      <c r="BW12" s="66" t="s">
        <v>69</v>
      </c>
    </row>
    <row r="13" spans="2:75" ht="10.15" customHeight="1">
      <c r="B13" s="118">
        <v>42029</v>
      </c>
      <c r="C13" s="119">
        <v>0.79166666666666663</v>
      </c>
      <c r="D13" s="120" t="str">
        <f>G8</f>
        <v>CONGO</v>
      </c>
      <c r="E13" s="141"/>
      <c r="F13" s="141"/>
      <c r="G13" s="121" t="str">
        <f>D9</f>
        <v>BURKINA FASO</v>
      </c>
      <c r="H13" s="22"/>
      <c r="I13" s="69"/>
      <c r="J13" s="70" t="str">
        <f>IF(OR(I11&lt;3,I10&lt;2),"TIRAGE AU SORT !!!"," ")</f>
        <v>TIRAGE AU SORT !!!</v>
      </c>
      <c r="K13" s="71"/>
      <c r="L13" s="71"/>
      <c r="M13" s="71"/>
      <c r="N13" s="71"/>
      <c r="O13" s="22"/>
      <c r="P13" s="22"/>
      <c r="Q13" s="22"/>
      <c r="R13" s="22"/>
      <c r="S13" s="170"/>
      <c r="T13" s="169"/>
      <c r="U13" s="139" t="str">
        <f>IF(OR(I11&lt;3,I10&lt;2),"A2",T(J10))</f>
        <v>A2</v>
      </c>
      <c r="V13" s="142"/>
      <c r="W13" s="8"/>
      <c r="X13" s="22"/>
      <c r="Y13" s="22"/>
      <c r="Z13" s="22"/>
      <c r="AA13" s="22"/>
      <c r="AB13" s="22"/>
      <c r="AC13" s="22"/>
      <c r="AJ13" s="39"/>
      <c r="AK13" s="39"/>
      <c r="AL13" s="39"/>
      <c r="AM13" s="21"/>
      <c r="AN13" s="21"/>
      <c r="AO13" s="21"/>
      <c r="AP13" s="21"/>
      <c r="AQ13" s="21"/>
      <c r="AR13" s="21"/>
      <c r="AS13" s="21"/>
      <c r="AT13" s="21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1"/>
      <c r="BI13" s="21"/>
      <c r="BJ13" s="21"/>
      <c r="BK13" s="21"/>
      <c r="BL13" s="21"/>
      <c r="BM13" s="21"/>
      <c r="BN13" s="21"/>
      <c r="BO13" s="21"/>
      <c r="BP13" s="21"/>
      <c r="BQ13" s="21"/>
      <c r="BR13" s="21"/>
      <c r="BS13" s="21"/>
    </row>
    <row r="14" spans="2:75" ht="10.15" customHeight="1">
      <c r="B14" s="72"/>
      <c r="C14" s="72"/>
      <c r="D14" s="72"/>
      <c r="E14" s="72"/>
      <c r="F14" s="72"/>
      <c r="G14" s="72"/>
      <c r="H14" s="22"/>
      <c r="I14" s="73"/>
      <c r="J14" s="22"/>
      <c r="K14" s="22"/>
      <c r="L14" s="22"/>
      <c r="M14" s="22"/>
      <c r="N14" s="22"/>
      <c r="O14" s="22"/>
      <c r="P14" s="22"/>
      <c r="Q14" s="22"/>
      <c r="R14" s="22"/>
      <c r="S14" s="171">
        <v>42036</v>
      </c>
      <c r="T14" s="173">
        <v>0.83333333333333337</v>
      </c>
      <c r="U14" s="139" t="str">
        <f>IF(OR(I34&lt;2),"D1",T(J33))</f>
        <v>D1</v>
      </c>
      <c r="V14" s="7"/>
      <c r="W14" s="8"/>
      <c r="X14" s="22"/>
      <c r="Y14" s="22"/>
      <c r="Z14" s="22"/>
      <c r="AA14" s="22"/>
      <c r="AB14" s="22"/>
      <c r="AC14" s="22"/>
      <c r="AF14" s="74"/>
      <c r="AG14" s="74"/>
      <c r="BH14" s="21"/>
      <c r="BI14" s="21"/>
      <c r="BJ14" s="21"/>
      <c r="BK14" s="21"/>
      <c r="BL14" s="21"/>
      <c r="BM14" s="21"/>
      <c r="BN14" s="21"/>
      <c r="BO14" s="21"/>
      <c r="BP14" s="21"/>
      <c r="BQ14" s="21"/>
      <c r="BR14" s="21"/>
      <c r="BS14" s="21"/>
    </row>
    <row r="15" spans="2:75" ht="10.15" customHeight="1">
      <c r="B15" s="105" t="s">
        <v>70</v>
      </c>
      <c r="C15" s="106"/>
      <c r="D15" s="107"/>
      <c r="E15" s="108"/>
      <c r="F15" s="108"/>
      <c r="G15" s="109"/>
      <c r="H15" s="22"/>
      <c r="I15" s="73"/>
      <c r="J15" s="22"/>
      <c r="K15" s="22"/>
      <c r="L15" s="22"/>
      <c r="M15" s="22"/>
      <c r="N15" s="22"/>
      <c r="O15" s="22"/>
      <c r="P15" s="22"/>
      <c r="Q15" s="22"/>
      <c r="R15" s="22"/>
      <c r="S15" s="172"/>
      <c r="T15" s="174"/>
      <c r="U15" s="140" t="str">
        <f>IF(OR(I27&lt;3,I26&lt;2),"C2",T(J26))</f>
        <v>C2</v>
      </c>
      <c r="V15" s="142"/>
      <c r="W15" s="8"/>
      <c r="X15" s="22"/>
      <c r="Y15" s="22"/>
      <c r="Z15" s="22"/>
      <c r="AA15" s="22"/>
      <c r="AB15" s="22"/>
      <c r="AC15" s="22"/>
      <c r="BH15" s="21"/>
      <c r="BI15" s="21"/>
      <c r="BJ15" s="21"/>
      <c r="BK15" s="21"/>
      <c r="BL15" s="21"/>
      <c r="BM15" s="21"/>
      <c r="BN15" s="21"/>
      <c r="BO15" s="21"/>
      <c r="BP15" s="21"/>
      <c r="BQ15" s="21"/>
      <c r="BR15" s="21"/>
      <c r="BS15" s="21"/>
    </row>
    <row r="16" spans="2:75" ht="10.15" customHeight="1">
      <c r="B16" s="110">
        <v>42022</v>
      </c>
      <c r="C16" s="111">
        <v>0.70833333333333337</v>
      </c>
      <c r="D16" s="112" t="s">
        <v>91</v>
      </c>
      <c r="E16" s="141"/>
      <c r="F16" s="141"/>
      <c r="G16" s="113" t="s">
        <v>92</v>
      </c>
      <c r="H16" s="22"/>
      <c r="I16" s="73"/>
      <c r="J16" s="134" t="s">
        <v>70</v>
      </c>
      <c r="K16" s="134" t="s">
        <v>35</v>
      </c>
      <c r="L16" s="134" t="s">
        <v>34</v>
      </c>
      <c r="M16" s="134" t="s">
        <v>21</v>
      </c>
      <c r="N16" s="135" t="str">
        <f>"+/-"</f>
        <v>+/-</v>
      </c>
      <c r="O16" s="22"/>
      <c r="P16" s="22"/>
      <c r="Q16" s="22"/>
      <c r="R16" s="22"/>
      <c r="S16" s="162"/>
      <c r="T16" s="157"/>
      <c r="U16" s="75"/>
      <c r="V16" s="76"/>
      <c r="W16" s="76"/>
      <c r="X16" s="22"/>
      <c r="Y16" s="22"/>
      <c r="Z16" s="22"/>
      <c r="AA16" s="22"/>
      <c r="AB16" s="22"/>
      <c r="AC16" s="22"/>
      <c r="AL16" s="27" t="s">
        <v>36</v>
      </c>
      <c r="AM16" s="28" t="s">
        <v>37</v>
      </c>
      <c r="AN16" s="29" t="s">
        <v>35</v>
      </c>
      <c r="AO16" s="27" t="s">
        <v>38</v>
      </c>
      <c r="AP16" s="29" t="s">
        <v>39</v>
      </c>
      <c r="AQ16" s="30" t="s">
        <v>40</v>
      </c>
      <c r="AR16" s="29" t="s">
        <v>41</v>
      </c>
      <c r="AS16" s="29" t="s">
        <v>42</v>
      </c>
      <c r="AT16" s="29" t="s">
        <v>43</v>
      </c>
      <c r="AU16" s="29" t="s">
        <v>44</v>
      </c>
      <c r="AV16" s="27" t="s">
        <v>45</v>
      </c>
      <c r="AW16" s="29" t="s">
        <v>46</v>
      </c>
      <c r="AX16" s="29" t="s">
        <v>47</v>
      </c>
      <c r="AY16" s="30" t="s">
        <v>48</v>
      </c>
      <c r="AZ16" s="27" t="s">
        <v>49</v>
      </c>
      <c r="BA16" s="29" t="s">
        <v>50</v>
      </c>
      <c r="BB16" s="29" t="s">
        <v>51</v>
      </c>
      <c r="BC16" s="30" t="s">
        <v>52</v>
      </c>
      <c r="BD16" s="27" t="s">
        <v>53</v>
      </c>
      <c r="BE16" s="29" t="s">
        <v>54</v>
      </c>
      <c r="BF16" s="29" t="s">
        <v>55</v>
      </c>
      <c r="BG16" s="30" t="s">
        <v>56</v>
      </c>
      <c r="BH16" s="27" t="s">
        <v>57</v>
      </c>
      <c r="BI16" s="29" t="s">
        <v>49</v>
      </c>
      <c r="BJ16" s="29" t="s">
        <v>50</v>
      </c>
      <c r="BK16" s="29" t="s">
        <v>51</v>
      </c>
      <c r="BL16" s="29" t="s">
        <v>52</v>
      </c>
      <c r="BM16" s="29" t="s">
        <v>58</v>
      </c>
      <c r="BN16" s="29" t="s">
        <v>59</v>
      </c>
      <c r="BO16" s="29" t="s">
        <v>60</v>
      </c>
      <c r="BP16" s="29" t="s">
        <v>61</v>
      </c>
      <c r="BQ16" s="29" t="s">
        <v>62</v>
      </c>
      <c r="BR16" s="29" t="s">
        <v>63</v>
      </c>
      <c r="BS16" s="30" t="s">
        <v>64</v>
      </c>
      <c r="BT16" s="27" t="s">
        <v>65</v>
      </c>
      <c r="BU16" s="29" t="s">
        <v>66</v>
      </c>
      <c r="BV16" s="29" t="s">
        <v>67</v>
      </c>
      <c r="BW16" s="30" t="s">
        <v>68</v>
      </c>
    </row>
    <row r="17" spans="2:75" ht="10.15" customHeight="1">
      <c r="B17" s="114">
        <v>42022</v>
      </c>
      <c r="C17" s="115">
        <v>0.83333333333333337</v>
      </c>
      <c r="D17" s="116" t="s">
        <v>93</v>
      </c>
      <c r="E17" s="141"/>
      <c r="F17" s="141"/>
      <c r="G17" s="117" t="s">
        <v>94</v>
      </c>
      <c r="H17" s="22"/>
      <c r="I17" s="132">
        <f>AI17</f>
        <v>1</v>
      </c>
      <c r="J17" s="123" t="str">
        <f>INDEX(AM17:AM20,MATCH(AK17,$AL17:$AL20,0))</f>
        <v>ZAMBIE</v>
      </c>
      <c r="K17" s="124">
        <f>INDEX(AN17:AN20,MATCH(AK17,$AL17:$AL20,0))</f>
        <v>0</v>
      </c>
      <c r="L17" s="125">
        <f>INDEX(AO17:AO20,MATCH(AK17,$AL17:$AL20,0))</f>
        <v>0</v>
      </c>
      <c r="M17" s="124">
        <f>INDEX(AP17:AP20,MATCH(AK17,$AL17:$AL20,0))</f>
        <v>0</v>
      </c>
      <c r="N17" s="126">
        <f>INDEX(AQ17:AQ20,MATCH(AK17,$AL17:$AL20,0))</f>
        <v>0</v>
      </c>
      <c r="O17" s="22"/>
      <c r="P17" s="22"/>
      <c r="Q17" s="22"/>
      <c r="R17" s="22"/>
      <c r="S17" s="162"/>
      <c r="T17" s="157"/>
      <c r="U17" s="75"/>
      <c r="V17" s="76"/>
      <c r="W17" s="76"/>
      <c r="X17" s="22"/>
      <c r="Y17" s="22"/>
      <c r="Z17" s="22"/>
      <c r="AA17" s="22"/>
      <c r="AB17" s="22"/>
      <c r="AC17" s="22"/>
      <c r="AI17" s="37">
        <v>1</v>
      </c>
      <c r="AJ17" s="38">
        <f>ROUND(AK17,0)</f>
        <v>2</v>
      </c>
      <c r="AK17" s="39">
        <f>MIN(AL17:AL20)</f>
        <v>2.4500000000000002</v>
      </c>
      <c r="AL17" s="40">
        <f>SUM(BD17:BG17)+2.45</f>
        <v>2.4500000000000002</v>
      </c>
      <c r="AM17" s="41" t="str">
        <f>D16</f>
        <v>ZAMBIE</v>
      </c>
      <c r="AN17" s="42">
        <f>SUM(AR17:AU17)</f>
        <v>0</v>
      </c>
      <c r="AO17" s="43">
        <f>E16+E18+F20</f>
        <v>0</v>
      </c>
      <c r="AP17" s="42">
        <f>F16+F18+E20</f>
        <v>0</v>
      </c>
      <c r="AQ17" s="44">
        <f>AO17-AP17</f>
        <v>0</v>
      </c>
      <c r="AR17" s="42" t="s">
        <v>69</v>
      </c>
      <c r="AS17" s="42">
        <f>IF(ISBLANK(E16),0,IF(E16&gt;F16,3,IF(E16=F16,1,0)))</f>
        <v>0</v>
      </c>
      <c r="AT17" s="42">
        <f>IF(ISBLANK(E18),0,IF(E18&gt;F18,3,IF(E18=F18,1,0)))</f>
        <v>0</v>
      </c>
      <c r="AU17" s="42">
        <f>IF(ISBLANK(F20),0,IF(F20&gt;E20,3,IF(F20=E20,1,0)))</f>
        <v>0</v>
      </c>
      <c r="AV17" s="43" t="s">
        <v>69</v>
      </c>
      <c r="AW17" s="42" t="b">
        <f>(10*(AQ17-AQ18)+AO17-AO18&gt;0)</f>
        <v>0</v>
      </c>
      <c r="AX17" s="42" t="b">
        <f>10*(AQ17-AQ19)+AO17-AO19&gt;0</f>
        <v>0</v>
      </c>
      <c r="AY17" s="44" t="b">
        <f>10*(AQ17-AQ20)+AO17-AO20&gt;0</f>
        <v>0</v>
      </c>
      <c r="AZ17" s="43">
        <f>10000*(AS17+AT17)+(E18-F18+E16-F16)*100+(E18+E16)</f>
        <v>0</v>
      </c>
      <c r="BA17" s="42">
        <f>10000*(AS17+AU17)+(E16-F16+F20-E20)*100+(E16+F20)</f>
        <v>0</v>
      </c>
      <c r="BB17" s="42">
        <f>10000*(AT17+AU17)+(F20-E20+E18-F18)*100+(F20+E18)</f>
        <v>0</v>
      </c>
      <c r="BC17" s="44" t="s">
        <v>69</v>
      </c>
      <c r="BD17" s="43" t="s">
        <v>69</v>
      </c>
      <c r="BE17" s="45">
        <f>IF($AN17&gt;$AN18,-0.5,IF($AN18&gt;$AN17,0.5,IF(AW17,-0.5,IF(AV18,0.5,BU17))))</f>
        <v>0</v>
      </c>
      <c r="BF17" s="45">
        <f>IF($AN17&gt;$AN19,-0.5,IF($AN19&gt;$AN17,0.5,IF(AX17,-0.5,IF(AV19,0.5,BV17))))</f>
        <v>0</v>
      </c>
      <c r="BG17" s="46">
        <f>IF($AN17&gt;$AN20,-0.5,IF($AN20&gt;$AN17,0.5,IF(AY17,-0.5,IF(AV20,0.5,BW17))))</f>
        <v>0</v>
      </c>
      <c r="BH17" s="47" t="b">
        <f>AND(AND(AN17=AN18,AN18=AN19,AN19=AN20),AND(AO17=AO18,AO18=AO19,AO19=AO20),AND(AP17=AP18,AP18=AP19,AP19=AP20))</f>
        <v>1</v>
      </c>
      <c r="BI17" s="47" t="b">
        <f>AND(NOT(BH17),AN17=AN18,AN17=AN19,AO17=AO18,AO17=AO19,AP17=AP18,AP17=AP19)</f>
        <v>0</v>
      </c>
      <c r="BJ17" s="47" t="b">
        <f>AND(NOT(BH17),AN17=AN18,AN17=AN20,AO17=AO18,AO17=AO20,AP17=AP18,AP17=AP20)</f>
        <v>0</v>
      </c>
      <c r="BK17" s="47" t="b">
        <f>AND(NOT(BH17),AN17=AN19,AN17=AN20,AO17=AO19,AO17=AO20,AP17=AP19,AP17=AP20)</f>
        <v>0</v>
      </c>
      <c r="BL17" s="47" t="b">
        <f>AND(NOT(BH17),AN18=AN19,AN18=AN20,AO18=AO19,AO18=AO20,AP18=AP19,AP18=AP20)</f>
        <v>0</v>
      </c>
      <c r="BM17" s="47" t="b">
        <f>AND(NOT(BH17),NOT(BI17),NOT(BJ17),AN17=AN18,AO17=AO18,AP17=AP18)</f>
        <v>0</v>
      </c>
      <c r="BN17" s="47" t="b">
        <f>AND(NOT(BH17),NOT(BI17),NOT(BK17),AN17=AN19,AO17=AO19,AP17=AP19)</f>
        <v>0</v>
      </c>
      <c r="BO17" s="47" t="b">
        <f>AND(NOT(BH17),NOT(BJ17),NOT(BK17),AN17=AN20,AO17=AO20,AP17=AP20)</f>
        <v>0</v>
      </c>
      <c r="BP17" s="47" t="b">
        <f>AND(NOT(BH17),NOT(BI17),NOT(BL17),AN18=AN19,AO18=AO19)</f>
        <v>0</v>
      </c>
      <c r="BQ17" s="47" t="b">
        <f>AND(NOT(BH17),NOT(BJ17),NOT(BL17),AN18=AN20,AO18=AO20,AP18=AP20)</f>
        <v>0</v>
      </c>
      <c r="BR17" s="47" t="b">
        <f>AND(NOT(BH17),NOT(BK17),NOT(BL17),AN19=AN20,AO19=AO20,AP19=AP20)</f>
        <v>0</v>
      </c>
      <c r="BS17" s="47" t="b">
        <f t="array" ref="BS17">AND(NOT(BH17:BR17))</f>
        <v>0</v>
      </c>
      <c r="BT17" s="43" t="s">
        <v>69</v>
      </c>
      <c r="BU17" s="42">
        <f>IF($BM17,IF(F16-E16&lt;0,-0.5,IF(E16-F16&lt;0,0.5,0)),IF($BI17,IF($AZ17&gt;$AZ18,-0.5,IF($AZ17&lt;$AZ18,0.5,0)),IF($BJ17,IF($BA17&gt;$BA18,-0.5, IF($BA17&lt;$BA18,0.5,0)),0)))</f>
        <v>0</v>
      </c>
      <c r="BV17" s="42">
        <f>IF($BN17,IF(F18-E18&lt;0,-0.5,IF(E18-F18&lt;0,0.5,0)),IF($BI17,IF($AZ17&gt;$AZ19,-0.5,IF($AZ17&lt;$AZ19,0.5,0)),IF($BK17,IF($BB17&gt;$BB19,-0.5,IF($BB17&lt;$BB19,0.5,0)),0)))</f>
        <v>0</v>
      </c>
      <c r="BW17" s="44">
        <f>IF($BO17,IF(E20-F20&lt;0,-0.5,IF(F20-E20&lt;0,0.5,0)),IF($BJ17,IF($BA17&gt;$BA20,-0.5,IF($BA17&lt;$BA20,0.5,0)),IF($BK17,IF($BB17&gt;$BB20,-0.5, IF($BB17&lt;$BB20,0.5,0)),0)))</f>
        <v>0</v>
      </c>
    </row>
    <row r="18" spans="2:75" ht="10.15" customHeight="1">
      <c r="B18" s="114">
        <v>42026</v>
      </c>
      <c r="C18" s="115">
        <v>0.70833333333333337</v>
      </c>
      <c r="D18" s="116" t="str">
        <f>D16</f>
        <v>ZAMBIE</v>
      </c>
      <c r="E18" s="141"/>
      <c r="F18" s="141"/>
      <c r="G18" s="117" t="str">
        <f>D17</f>
        <v xml:space="preserve">TUNISIE </v>
      </c>
      <c r="H18" s="22"/>
      <c r="I18" s="133">
        <f>AI18</f>
        <v>1</v>
      </c>
      <c r="J18" s="128" t="str">
        <f>INDEX(AM17:AM20,MATCH(AK18,$AL17:$AL20,0))</f>
        <v>RD CONGO</v>
      </c>
      <c r="K18" s="129">
        <f>INDEX(AN17:AN20,MATCH(AK18,$AL17:$AL20,0))</f>
        <v>0</v>
      </c>
      <c r="L18" s="130">
        <f>INDEX(AO17:AO20,MATCH(AK18,$AL17:$AL20,0))</f>
        <v>0</v>
      </c>
      <c r="M18" s="129">
        <f>INDEX(AP17:AP20,MATCH(AK18,$AL17:$AL20,0))</f>
        <v>0</v>
      </c>
      <c r="N18" s="131">
        <f>INDEX(AQ17:AQ20,MATCH(AK18,$AL17:$AL20,0))</f>
        <v>0</v>
      </c>
      <c r="O18" s="22"/>
      <c r="P18" s="22"/>
      <c r="Q18" s="22"/>
      <c r="R18" s="22"/>
      <c r="S18" s="162"/>
      <c r="T18" s="157"/>
      <c r="U18" s="75"/>
      <c r="V18" s="76"/>
      <c r="W18" s="76"/>
      <c r="X18" s="22"/>
      <c r="Y18" s="22"/>
      <c r="Z18" s="22"/>
      <c r="AA18" s="22"/>
      <c r="AB18" s="22"/>
      <c r="AC18" s="22"/>
      <c r="AI18" s="37">
        <f>IF(ROUND(AK18,0)=ROUND(AK17,0),AI17,2)</f>
        <v>1</v>
      </c>
      <c r="AJ18" s="38">
        <f>ROUND(AK18,0)</f>
        <v>2</v>
      </c>
      <c r="AK18" s="39">
        <f>MAX(MIN(AL17:AL19),MIN(AL17,AL18,AL20),MIN(AL17,AL19,AL20),MIN(AL18:AL20))</f>
        <v>2.46</v>
      </c>
      <c r="AL18" s="53">
        <f>SUM(BD18:BG18)+2.46</f>
        <v>2.46</v>
      </c>
      <c r="AM18" s="41" t="str">
        <f>G16</f>
        <v>RD CONGO</v>
      </c>
      <c r="AN18" s="42">
        <f>SUM(AR18:AU18)</f>
        <v>0</v>
      </c>
      <c r="AO18" s="43">
        <f>F16+F19+E21</f>
        <v>0</v>
      </c>
      <c r="AP18" s="42">
        <f>E16+E19+F21</f>
        <v>0</v>
      </c>
      <c r="AQ18" s="44">
        <f>AO18-AP18</f>
        <v>0</v>
      </c>
      <c r="AR18" s="42">
        <f>IF(ISBLANK(F16),0,IF(AS17=3,0,IF(AS17=1,1,3)))</f>
        <v>0</v>
      </c>
      <c r="AS18" s="42" t="s">
        <v>69</v>
      </c>
      <c r="AT18" s="42">
        <f>IF(ISBLANK(E21),0,IF(AS19=3,0,IF(AS19=1,1,3)))</f>
        <v>0</v>
      </c>
      <c r="AU18" s="42">
        <f>IF(ISBLANK(F19),0,IF(F19&gt;E19,3,IF(F19=E19,1,0)))</f>
        <v>0</v>
      </c>
      <c r="AV18" s="43" t="b">
        <f>(10*(AQ17-AQ18)+AO17-AO18&lt;0)</f>
        <v>0</v>
      </c>
      <c r="AW18" s="42" t="s">
        <v>69</v>
      </c>
      <c r="AX18" s="42" t="b">
        <f>10*(AQ18-AQ19)+AO18-AO19&gt;0</f>
        <v>0</v>
      </c>
      <c r="AY18" s="44" t="b">
        <f>10*(AQ18-AQ20)+AO18-AO20&gt;0</f>
        <v>0</v>
      </c>
      <c r="AZ18" s="43">
        <f>10000*(AR18+AT18)+(F16-E16+E21-F21)*100+(F16+E21)</f>
        <v>0</v>
      </c>
      <c r="BA18" s="42">
        <f>10000*(AR18+AU18)+(F16-E16+F19-E19)*100+(F16+F19)</f>
        <v>0</v>
      </c>
      <c r="BB18" s="42" t="s">
        <v>69</v>
      </c>
      <c r="BC18" s="44">
        <f>10000*(AT18+AU18)+(F19-E19+E21-F21)*100+(F19+E21)</f>
        <v>0</v>
      </c>
      <c r="BD18" s="54">
        <f>-BE17</f>
        <v>0</v>
      </c>
      <c r="BE18" s="42" t="s">
        <v>69</v>
      </c>
      <c r="BF18" s="45">
        <f>IF($AN18&gt;$AN19,-0.5,IF($AN19&gt;$AN18,0.5,IF(AX18,-0.5,IF(AW19,0.5,BV18))))</f>
        <v>0</v>
      </c>
      <c r="BG18" s="46">
        <f>IF($AN18&gt;$AN20,-0.5,IF($AN20&gt;$AN18,0.5,IF(AY18,-0.5,IF(AW20,0.5,BW18))))</f>
        <v>0</v>
      </c>
      <c r="BH18" s="21"/>
      <c r="BI18" s="21"/>
      <c r="BJ18" s="21"/>
      <c r="BK18" s="21"/>
      <c r="BL18" s="21"/>
      <c r="BM18" s="21"/>
      <c r="BN18" s="21"/>
      <c r="BO18" s="21"/>
      <c r="BP18" s="21"/>
      <c r="BQ18" s="21"/>
      <c r="BR18" s="21"/>
      <c r="BS18" s="21"/>
      <c r="BT18" s="43"/>
      <c r="BU18" s="42" t="s">
        <v>69</v>
      </c>
      <c r="BV18" s="42">
        <f>IF($BP17,IF(F21-E21&lt;0,-0.5,IF(E21-F21&lt;0,0.5,0)),IF($BI17,IF($AZ18&gt;$AZ19,-0.5,IF($AZ18&lt;$AZ19,0.5,0)),IF($BL17,IF($BC18&gt;$BC19,-0.5,IF($BC18&lt;$BC19,0.5,0)),0)))</f>
        <v>0</v>
      </c>
      <c r="BW18" s="44">
        <f>IF($BQ17,IF(E19-F19&lt;0,-0.5,IF(F19-E19&lt;0,0.5,0)),IF($BJ17,IF($BA18&gt;$BA20,-0.5,IF($BA18&lt;$BA20,0.5,0)),IF($BL17,IF($BC18&gt;$BC20,-0.5,IF($BC18&lt;$BC20,0.5,0)),0)))</f>
        <v>0</v>
      </c>
    </row>
    <row r="19" spans="2:75" ht="10.15" customHeight="1">
      <c r="B19" s="114">
        <v>42026</v>
      </c>
      <c r="C19" s="115">
        <v>0.83333333333333337</v>
      </c>
      <c r="D19" s="116" t="str">
        <f>G17</f>
        <v>CAP VERT</v>
      </c>
      <c r="E19" s="141"/>
      <c r="F19" s="141"/>
      <c r="G19" s="117" t="str">
        <f>G16</f>
        <v>RD CONGO</v>
      </c>
      <c r="H19" s="22"/>
      <c r="I19" s="122">
        <f>AI19</f>
        <v>1</v>
      </c>
      <c r="J19" s="123" t="str">
        <f>INDEX(AM17:AM20,MATCH(AK19,$AL17:$AL20,0))</f>
        <v xml:space="preserve">TUNISIE </v>
      </c>
      <c r="K19" s="124">
        <f>INDEX(AN17:AN20,MATCH(AK19,$AL17:$AL20,0))</f>
        <v>0</v>
      </c>
      <c r="L19" s="125">
        <f>INDEX(AO17:AO20,MATCH(AK19,$AL17:$AL20,0))</f>
        <v>0</v>
      </c>
      <c r="M19" s="124">
        <f>INDEX(AP17:AP20,MATCH(AK19,$AL17:$AL20,0))</f>
        <v>0</v>
      </c>
      <c r="N19" s="126">
        <f>INDEX(AQ17:AQ20,MATCH(AK19,$AL17:$AL20,0))</f>
        <v>0</v>
      </c>
      <c r="O19" s="22"/>
      <c r="P19" s="22"/>
      <c r="Q19" s="22"/>
      <c r="R19" s="22"/>
      <c r="S19" s="162"/>
      <c r="T19" s="157"/>
      <c r="U19" s="75"/>
      <c r="V19" s="76"/>
      <c r="W19" s="76"/>
      <c r="X19" s="22"/>
      <c r="Y19" s="22"/>
      <c r="Z19" s="22"/>
      <c r="AA19" s="22"/>
      <c r="AB19" s="22"/>
      <c r="AC19" s="22"/>
      <c r="AH19" s="74"/>
      <c r="AI19" s="37">
        <f>IF(ROUND(AK19,0)=ROUND(AK18,0),AI18,3)</f>
        <v>1</v>
      </c>
      <c r="AJ19" s="38">
        <f>ROUND(AK19,0)</f>
        <v>2</v>
      </c>
      <c r="AK19" s="39">
        <f>MIN(MAX(AL17:AL19),MAX(AL17,AL18,AL20),MAX(AL17,AL19,AL20),MAX(AL18:AL20))</f>
        <v>2.4700000000000002</v>
      </c>
      <c r="AL19" s="53">
        <f>SUM(BD19:BG19)+2.47</f>
        <v>2.4700000000000002</v>
      </c>
      <c r="AM19" s="41" t="str">
        <f>D17</f>
        <v xml:space="preserve">TUNISIE </v>
      </c>
      <c r="AN19" s="42">
        <f>SUM(AR19:AU19)</f>
        <v>0</v>
      </c>
      <c r="AO19" s="43">
        <f>E17+F18+F21</f>
        <v>0</v>
      </c>
      <c r="AP19" s="42">
        <f>F17+E18+E21</f>
        <v>0</v>
      </c>
      <c r="AQ19" s="44">
        <f>AO19-AP19</f>
        <v>0</v>
      </c>
      <c r="AR19" s="42">
        <f>IF(ISBLANK(F18),0,IF(AT17=3,0,IF(AT17=1,1,3)))</f>
        <v>0</v>
      </c>
      <c r="AS19" s="42">
        <f>IF(ISBLANK(F21),0,IF(F21&gt;E21,3,IF(F21=E21,1,0)))</f>
        <v>0</v>
      </c>
      <c r="AT19" s="42" t="s">
        <v>69</v>
      </c>
      <c r="AU19" s="42">
        <f>IF(ISBLANK(E17),0,IF(E17&gt;F17,3,IF(E17=F17,1,0)))</f>
        <v>0</v>
      </c>
      <c r="AV19" s="43" t="b">
        <f>10*(AQ17-AQ19)+AO17-AO19&lt;0</f>
        <v>0</v>
      </c>
      <c r="AW19" s="42" t="b">
        <f>10*(AQ18-AQ19)+AO18-AO19&lt;0</f>
        <v>0</v>
      </c>
      <c r="AX19" s="42" t="s">
        <v>69</v>
      </c>
      <c r="AY19" s="44" t="b">
        <f>10*(AQ19-AQ20)+AO19-AO20&gt;0</f>
        <v>0</v>
      </c>
      <c r="AZ19" s="43">
        <f>10000*(AR19+AS19)+(F18-E18+F21-E21)*100+(F18+F21)</f>
        <v>0</v>
      </c>
      <c r="BA19" s="42" t="s">
        <v>69</v>
      </c>
      <c r="BB19" s="42">
        <f>10000*(AR19+AU19)+(E17-F17+F18-E18)*100+(E17+F18)</f>
        <v>0</v>
      </c>
      <c r="BC19" s="44">
        <f>10000*(AS19+AU19)+(E17-F17+F21-E21)*100+(E17+F21)</f>
        <v>0</v>
      </c>
      <c r="BD19" s="54">
        <f>-BF17</f>
        <v>0</v>
      </c>
      <c r="BE19" s="45">
        <f>-BF18</f>
        <v>0</v>
      </c>
      <c r="BF19" s="45" t="s">
        <v>69</v>
      </c>
      <c r="BG19" s="46">
        <f>IF($AN19&gt;$AN20,-0.5,IF($AN20&gt;$AN19,0.5,IF(AY19,-0.5,IF(AX20,0.5,BW19))))</f>
        <v>0</v>
      </c>
      <c r="BH19" s="21"/>
      <c r="BI19" s="21"/>
      <c r="BJ19" s="21"/>
      <c r="BK19" s="21"/>
      <c r="BL19" s="21"/>
      <c r="BM19" s="21"/>
      <c r="BN19" s="21"/>
      <c r="BO19" s="21"/>
      <c r="BP19" s="21"/>
      <c r="BQ19" s="21"/>
      <c r="BR19" s="21"/>
      <c r="BS19" s="21"/>
      <c r="BT19" s="43"/>
      <c r="BU19" s="42"/>
      <c r="BV19" s="42" t="s">
        <v>69</v>
      </c>
      <c r="BW19" s="44">
        <f>IF($BR17,IF(F17-E17&lt;0,-0.5,IF(E17-F17&lt;0,0.5,0)),IF($BK17,IF($BB19&gt;$BB20,-0.5,IF($BB19&lt;$BB20,0.5,0)),IF($BL17,IF($BC19&gt;$BC20,-0.5,IF($BC19&lt;$BC20,0.5,0)),0)))</f>
        <v>0</v>
      </c>
    </row>
    <row r="20" spans="2:75" ht="10.15" customHeight="1">
      <c r="B20" s="114">
        <v>42030</v>
      </c>
      <c r="C20" s="115">
        <v>0.79166666666666663</v>
      </c>
      <c r="D20" s="116" t="str">
        <f>G17</f>
        <v>CAP VERT</v>
      </c>
      <c r="E20" s="141"/>
      <c r="F20" s="141"/>
      <c r="G20" s="117" t="str">
        <f>D16</f>
        <v>ZAMBIE</v>
      </c>
      <c r="H20" s="22"/>
      <c r="I20" s="127">
        <f>AI20</f>
        <v>1</v>
      </c>
      <c r="J20" s="128" t="str">
        <f>INDEX(AM17:AM20,MATCH(AK20,$AL17:$AL20,0))</f>
        <v>CAP VERT</v>
      </c>
      <c r="K20" s="129">
        <f>INDEX(AN17:AN20,MATCH(AK20,$AL17:$AL20,0))</f>
        <v>0</v>
      </c>
      <c r="L20" s="130">
        <f>INDEX(AO17:AO20,MATCH(AK20,$AL17:$AL20,0))</f>
        <v>0</v>
      </c>
      <c r="M20" s="129">
        <f>INDEX(AP17:AP20,MATCH(AK20,$AL17:$AL20,0))</f>
        <v>0</v>
      </c>
      <c r="N20" s="131">
        <f>INDEX(AQ17:AQ20,MATCH(AK20,$AL17:$AL20,0))</f>
        <v>0</v>
      </c>
      <c r="O20" s="22"/>
      <c r="P20" s="22"/>
      <c r="Q20" s="22"/>
      <c r="R20" s="22"/>
      <c r="S20" s="162"/>
      <c r="T20" s="157"/>
      <c r="U20" s="75"/>
      <c r="V20" s="76"/>
      <c r="W20" s="76"/>
      <c r="X20" s="22"/>
      <c r="Y20" s="22"/>
      <c r="Z20" s="22"/>
      <c r="AA20" s="22"/>
      <c r="AB20" s="22"/>
      <c r="AC20" s="22"/>
      <c r="AI20" s="37">
        <f>IF(ROUND(AK20,0)=ROUND(AK19,0),AI19,4)</f>
        <v>1</v>
      </c>
      <c r="AJ20" s="38">
        <f>ROUND(AK20,0)</f>
        <v>2</v>
      </c>
      <c r="AK20" s="39">
        <f>MAX(AL17:AL20)</f>
        <v>2.48</v>
      </c>
      <c r="AL20" s="63">
        <f>SUM(BD20:BG20)+2.48</f>
        <v>2.48</v>
      </c>
      <c r="AM20" s="64" t="str">
        <f>G17</f>
        <v>CAP VERT</v>
      </c>
      <c r="AN20" s="47">
        <f>SUM(AR20:AU20)</f>
        <v>0</v>
      </c>
      <c r="AO20" s="65">
        <f>F17+E19+E20</f>
        <v>0</v>
      </c>
      <c r="AP20" s="47">
        <f>E17+F19+F20</f>
        <v>0</v>
      </c>
      <c r="AQ20" s="66">
        <f>AO20-AP20</f>
        <v>0</v>
      </c>
      <c r="AR20" s="47">
        <f>IF(ISBLANK(E20),0,IF(AU17=3,0,IF(AU17=1,1,3)))</f>
        <v>0</v>
      </c>
      <c r="AS20" s="47">
        <f>IF(ISBLANK(E19),0,IF(AU18=3,0,IF(AU18=1,1,3)))</f>
        <v>0</v>
      </c>
      <c r="AT20" s="47">
        <f>IF(ISBLANK(F17),0,IF(AU19=3,0,IF(AU19=1,1,3)))</f>
        <v>0</v>
      </c>
      <c r="AU20" s="47" t="s">
        <v>69</v>
      </c>
      <c r="AV20" s="65" t="b">
        <f>10*(AQ17-AQ20)+AO17-AO20&lt;0</f>
        <v>0</v>
      </c>
      <c r="AW20" s="47" t="b">
        <f>10*(AQ18-AQ20)+AO18-AO20&lt;0</f>
        <v>0</v>
      </c>
      <c r="AX20" s="47" t="b">
        <f>10*(AQ19-AQ20)+AO19-AO20&lt;0</f>
        <v>0</v>
      </c>
      <c r="AY20" s="66" t="s">
        <v>69</v>
      </c>
      <c r="AZ20" s="65" t="s">
        <v>69</v>
      </c>
      <c r="BA20" s="47">
        <f>10000*(AR20+AS20)+(E19-F19+E20-F20)*100+(E19+E20)</f>
        <v>0</v>
      </c>
      <c r="BB20" s="47">
        <f>10000*(AR20+AT20)+(E20-F20+F17-E17)*100+(E20+F17)</f>
        <v>0</v>
      </c>
      <c r="BC20" s="66">
        <f>10000*(AS20+AT20)+(E19-F19+F17-E17)*100+(E19+F17)</f>
        <v>0</v>
      </c>
      <c r="BD20" s="67">
        <f>-BG17</f>
        <v>0</v>
      </c>
      <c r="BE20" s="68">
        <f>-BG18</f>
        <v>0</v>
      </c>
      <c r="BF20" s="68">
        <f>-BG19</f>
        <v>0</v>
      </c>
      <c r="BG20" s="66" t="s">
        <v>69</v>
      </c>
      <c r="BH20" s="21"/>
      <c r="BI20" s="21"/>
      <c r="BJ20" s="21"/>
      <c r="BK20" s="21"/>
      <c r="BL20" s="21"/>
      <c r="BM20" s="21"/>
      <c r="BN20" s="21"/>
      <c r="BO20" s="21"/>
      <c r="BP20" s="21"/>
      <c r="BQ20" s="21"/>
      <c r="BR20" s="21"/>
      <c r="BS20" s="21"/>
      <c r="BT20" s="65"/>
      <c r="BU20" s="47"/>
      <c r="BV20" s="47"/>
      <c r="BW20" s="66" t="s">
        <v>69</v>
      </c>
    </row>
    <row r="21" spans="2:75" ht="10.15" customHeight="1">
      <c r="B21" s="118">
        <v>42030</v>
      </c>
      <c r="C21" s="119">
        <v>0.79166666666666663</v>
      </c>
      <c r="D21" s="120" t="str">
        <f>G16</f>
        <v>RD CONGO</v>
      </c>
      <c r="E21" s="141"/>
      <c r="F21" s="141"/>
      <c r="G21" s="121" t="str">
        <f>D17</f>
        <v xml:space="preserve">TUNISIE </v>
      </c>
      <c r="H21" s="22"/>
      <c r="I21" s="69"/>
      <c r="J21" s="70" t="str">
        <f>IF(OR(I19&lt;3,I18&lt;2),"TIRAGE AU SORT !!!"," ")</f>
        <v>TIRAGE AU SORT !!!</v>
      </c>
      <c r="K21" s="71"/>
      <c r="L21" s="71"/>
      <c r="M21" s="71"/>
      <c r="N21" s="71"/>
      <c r="O21" s="22"/>
      <c r="P21" s="22"/>
      <c r="Q21" s="22"/>
      <c r="R21" s="22"/>
      <c r="S21" s="162"/>
      <c r="T21" s="157"/>
      <c r="U21" s="75"/>
      <c r="V21" s="76"/>
      <c r="W21" s="76"/>
      <c r="X21" s="22"/>
      <c r="Y21" s="22"/>
      <c r="Z21" s="22"/>
      <c r="AA21" s="22"/>
      <c r="AB21" s="22"/>
      <c r="AC21" s="22"/>
    </row>
    <row r="22" spans="2:75" ht="10.15" customHeight="1">
      <c r="B22" s="72"/>
      <c r="C22" s="72"/>
      <c r="D22" s="72"/>
      <c r="E22" s="72"/>
      <c r="F22" s="72"/>
      <c r="G22" s="72"/>
      <c r="H22" s="22"/>
      <c r="I22" s="73"/>
      <c r="J22" s="22"/>
      <c r="K22" s="22"/>
      <c r="L22" s="22"/>
      <c r="M22" s="22"/>
      <c r="N22" s="22"/>
      <c r="O22" s="22"/>
      <c r="P22" s="22"/>
      <c r="Q22" s="22"/>
      <c r="R22" s="22"/>
      <c r="S22" s="162"/>
      <c r="T22" s="157"/>
      <c r="U22" s="75"/>
      <c r="V22" s="76"/>
      <c r="W22" s="76"/>
      <c r="X22" s="22"/>
      <c r="Y22" s="22"/>
      <c r="Z22" s="22"/>
      <c r="AA22" s="22"/>
      <c r="AB22" s="22"/>
      <c r="AC22" s="22"/>
    </row>
    <row r="23" spans="2:75" ht="10.15" customHeight="1">
      <c r="B23" s="105" t="s">
        <v>71</v>
      </c>
      <c r="C23" s="106"/>
      <c r="D23" s="107"/>
      <c r="E23" s="108"/>
      <c r="F23" s="108"/>
      <c r="G23" s="109"/>
      <c r="H23" s="22"/>
      <c r="I23" s="73"/>
      <c r="J23" s="22"/>
      <c r="K23" s="22"/>
      <c r="L23" s="22"/>
      <c r="M23" s="22"/>
      <c r="N23" s="22"/>
      <c r="O23" s="22"/>
      <c r="P23" s="22"/>
      <c r="Q23" s="22"/>
      <c r="R23" s="22"/>
      <c r="S23" s="162"/>
      <c r="T23" s="157"/>
      <c r="U23" s="75"/>
      <c r="V23" s="76"/>
      <c r="W23" s="76"/>
      <c r="X23" s="22"/>
      <c r="Y23" s="22"/>
      <c r="Z23" s="22"/>
      <c r="AA23" s="22"/>
      <c r="AB23" s="22"/>
      <c r="AC23" s="22"/>
    </row>
    <row r="24" spans="2:75" ht="10.15" customHeight="1">
      <c r="B24" s="110">
        <v>42023</v>
      </c>
      <c r="C24" s="111">
        <v>0.70833333333333337</v>
      </c>
      <c r="D24" s="112" t="s">
        <v>95</v>
      </c>
      <c r="E24" s="141"/>
      <c r="F24" s="141"/>
      <c r="G24" s="113" t="s">
        <v>96</v>
      </c>
      <c r="H24" s="22"/>
      <c r="I24" s="73"/>
      <c r="J24" s="134" t="s">
        <v>71</v>
      </c>
      <c r="K24" s="134" t="s">
        <v>35</v>
      </c>
      <c r="L24" s="134" t="s">
        <v>34</v>
      </c>
      <c r="M24" s="134" t="s">
        <v>21</v>
      </c>
      <c r="N24" s="135" t="str">
        <f>"+/-"</f>
        <v>+/-</v>
      </c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  <c r="AC24" s="22"/>
      <c r="AL24" s="27" t="s">
        <v>36</v>
      </c>
      <c r="AM24" s="28" t="s">
        <v>37</v>
      </c>
      <c r="AN24" s="29" t="s">
        <v>35</v>
      </c>
      <c r="AO24" s="27" t="s">
        <v>38</v>
      </c>
      <c r="AP24" s="29" t="s">
        <v>39</v>
      </c>
      <c r="AQ24" s="30" t="s">
        <v>40</v>
      </c>
      <c r="AR24" s="29" t="s">
        <v>41</v>
      </c>
      <c r="AS24" s="29" t="s">
        <v>42</v>
      </c>
      <c r="AT24" s="29" t="s">
        <v>43</v>
      </c>
      <c r="AU24" s="29" t="s">
        <v>44</v>
      </c>
      <c r="AV24" s="27" t="s">
        <v>45</v>
      </c>
      <c r="AW24" s="29" t="s">
        <v>46</v>
      </c>
      <c r="AX24" s="29" t="s">
        <v>47</v>
      </c>
      <c r="AY24" s="30" t="s">
        <v>48</v>
      </c>
      <c r="AZ24" s="27" t="s">
        <v>49</v>
      </c>
      <c r="BA24" s="29" t="s">
        <v>50</v>
      </c>
      <c r="BB24" s="29" t="s">
        <v>51</v>
      </c>
      <c r="BC24" s="30" t="s">
        <v>52</v>
      </c>
      <c r="BD24" s="27" t="s">
        <v>53</v>
      </c>
      <c r="BE24" s="29" t="s">
        <v>54</v>
      </c>
      <c r="BF24" s="29" t="s">
        <v>55</v>
      </c>
      <c r="BG24" s="30" t="s">
        <v>56</v>
      </c>
      <c r="BH24" s="27" t="s">
        <v>57</v>
      </c>
      <c r="BI24" s="29" t="s">
        <v>49</v>
      </c>
      <c r="BJ24" s="29" t="s">
        <v>50</v>
      </c>
      <c r="BK24" s="29" t="s">
        <v>51</v>
      </c>
      <c r="BL24" s="29" t="s">
        <v>52</v>
      </c>
      <c r="BM24" s="29" t="s">
        <v>58</v>
      </c>
      <c r="BN24" s="29" t="s">
        <v>59</v>
      </c>
      <c r="BO24" s="29" t="s">
        <v>60</v>
      </c>
      <c r="BP24" s="29" t="s">
        <v>61</v>
      </c>
      <c r="BQ24" s="29" t="s">
        <v>62</v>
      </c>
      <c r="BR24" s="29" t="s">
        <v>63</v>
      </c>
      <c r="BS24" s="30" t="s">
        <v>64</v>
      </c>
      <c r="BT24" s="27" t="s">
        <v>65</v>
      </c>
      <c r="BU24" s="29" t="s">
        <v>66</v>
      </c>
      <c r="BV24" s="29" t="s">
        <v>67</v>
      </c>
      <c r="BW24" s="30" t="s">
        <v>68</v>
      </c>
    </row>
    <row r="25" spans="2:75" ht="10.15" customHeight="1">
      <c r="B25" s="114">
        <v>42023</v>
      </c>
      <c r="C25" s="115">
        <v>0.83333333333333337</v>
      </c>
      <c r="D25" s="116" t="s">
        <v>97</v>
      </c>
      <c r="E25" s="141"/>
      <c r="F25" s="141"/>
      <c r="G25" s="117" t="s">
        <v>98</v>
      </c>
      <c r="H25" s="22"/>
      <c r="I25" s="132">
        <f>AI25</f>
        <v>1</v>
      </c>
      <c r="J25" s="123" t="str">
        <f>INDEX(AM25:AM28,MATCH(AK25,$AL25:$AL28,0))</f>
        <v>GHANA</v>
      </c>
      <c r="K25" s="124">
        <f>INDEX(AN25:AN28,MATCH(AK25,$AL25:$AL28,0))</f>
        <v>0</v>
      </c>
      <c r="L25" s="125">
        <f>INDEX(AO25:AO28,MATCH(AK25,$AL25:$AL28,0))</f>
        <v>0</v>
      </c>
      <c r="M25" s="124">
        <f>INDEX(AP25:AP28,MATCH(AK25,$AL25:$AL28,0))</f>
        <v>0</v>
      </c>
      <c r="N25" s="126">
        <f>INDEX(AQ25:AQ28,MATCH(AK25,$AL25:$AL28,0))</f>
        <v>0</v>
      </c>
      <c r="O25" s="22"/>
      <c r="P25" s="22"/>
      <c r="Q25" s="22"/>
      <c r="R25" s="22"/>
      <c r="S25" s="175" t="s">
        <v>74</v>
      </c>
      <c r="T25" s="176"/>
      <c r="U25" s="176"/>
      <c r="V25" s="177"/>
      <c r="W25" s="135" t="s">
        <v>1</v>
      </c>
      <c r="X25" s="22"/>
      <c r="Y25" s="22"/>
      <c r="Z25" s="22"/>
      <c r="AA25" s="22"/>
      <c r="AB25" s="22"/>
      <c r="AC25" s="22"/>
      <c r="AI25" s="37">
        <v>1</v>
      </c>
      <c r="AJ25" s="38">
        <f>ROUND(AK25,0)</f>
        <v>2</v>
      </c>
      <c r="AK25" s="39">
        <f>MIN(AL25:AL28)</f>
        <v>2.4500000000000002</v>
      </c>
      <c r="AL25" s="40">
        <f>SUM(BD25:BG25)+2.45</f>
        <v>2.4500000000000002</v>
      </c>
      <c r="AM25" s="41" t="str">
        <f>D24</f>
        <v>GHANA</v>
      </c>
      <c r="AN25" s="42">
        <f>SUM(AR25:AU25)</f>
        <v>0</v>
      </c>
      <c r="AO25" s="43">
        <f>E24+E26+F28</f>
        <v>0</v>
      </c>
      <c r="AP25" s="42">
        <f>F24+F26+E28</f>
        <v>0</v>
      </c>
      <c r="AQ25" s="44">
        <f>AO25-AP25</f>
        <v>0</v>
      </c>
      <c r="AR25" s="42" t="s">
        <v>69</v>
      </c>
      <c r="AS25" s="42">
        <f>IF(ISBLANK(E24),0,IF(E24&gt;F24,3,IF(E24=F24,1,0)))</f>
        <v>0</v>
      </c>
      <c r="AT25" s="42">
        <f>IF(ISBLANK(E26),0,IF(E26&gt;F26,3,IF(E26=F26,1,0)))</f>
        <v>0</v>
      </c>
      <c r="AU25" s="42">
        <f>IF(ISBLANK(F28),0,IF(F28&gt;E28,3,IF(F28=E28,1,0)))</f>
        <v>0</v>
      </c>
      <c r="AV25" s="43" t="s">
        <v>69</v>
      </c>
      <c r="AW25" s="42" t="b">
        <f>(10*(AQ25-AQ26)+AO25-AO26&gt;0)</f>
        <v>0</v>
      </c>
      <c r="AX25" s="42" t="b">
        <f>10*(AQ25-AQ27)+AO25-AO27&gt;0</f>
        <v>0</v>
      </c>
      <c r="AY25" s="44" t="b">
        <f>10*(AQ25-AQ28)+AO25-AO28&gt;0</f>
        <v>0</v>
      </c>
      <c r="AZ25" s="43">
        <f>10000*(AS25+AT25)+(E26-F26+E24-F24)*100+(E26+E24)</f>
        <v>0</v>
      </c>
      <c r="BA25" s="42">
        <f>10000*(AS25+AU25)+(E24-F24+F28-E28)*100+(E24+F28)</f>
        <v>0</v>
      </c>
      <c r="BB25" s="42">
        <f>10000*(AT25+AU25)+(F28-E28+E26-F26)*100+(F28+E26)</f>
        <v>0</v>
      </c>
      <c r="BC25" s="44" t="s">
        <v>69</v>
      </c>
      <c r="BD25" s="43" t="s">
        <v>69</v>
      </c>
      <c r="BE25" s="45">
        <f>IF($AN25&gt;$AN26,-0.5,IF($AN26&gt;$AN25,0.5,IF(AW25,-0.5,IF(AV26,0.5,BU25))))</f>
        <v>0</v>
      </c>
      <c r="BF25" s="45">
        <f>IF($AN25&gt;$AN27,-0.5,IF($AN27&gt;$AN25,0.5,IF(AX25,-0.5,IF(AV27,0.5,BV25))))</f>
        <v>0</v>
      </c>
      <c r="BG25" s="46">
        <f>IF($AN25&gt;$AN28,-0.5,IF($AN28&gt;$AN25,0.5,IF(AY25,-0.5,IF(AV28,0.5,BW25))))</f>
        <v>0</v>
      </c>
      <c r="BH25" s="47" t="b">
        <f>AND(AND(AN25=AN26,AN26=AN27,AN27=AN28),AND(AO25=AO26,AO26=AO27,AO27=AO28),AND(AP25=AP26,AP26=AP27,AP27=AP28))</f>
        <v>1</v>
      </c>
      <c r="BI25" s="47" t="b">
        <f>AND(NOT(BH25),AN25=AN26,AN25=AN27,AO25=AO26,AO25=AO27,AP25=AP26,AP25=AP27)</f>
        <v>0</v>
      </c>
      <c r="BJ25" s="47" t="b">
        <f>AND(NOT(BH25),AN25=AN26,AN25=AN28,AO25=AO26,AO25=AO28,AP25=AP26,AP25=AP28)</f>
        <v>0</v>
      </c>
      <c r="BK25" s="47" t="b">
        <f>AND(NOT(BH25),AN25=AN27,AN25=AN28,AO25=AO27,AO25=AO28,AP25=AP27,AP25=AP28)</f>
        <v>0</v>
      </c>
      <c r="BL25" s="47" t="b">
        <f>AND(NOT(BH25),AN26=AN27,AN26=AN28,AO26=AO27,AO26=AO28,AP26=AP27,AP26=AP28)</f>
        <v>0</v>
      </c>
      <c r="BM25" s="47" t="b">
        <f>AND(NOT(BH25),NOT(BI25),NOT(BJ25),AN25=AN26,AO25=AO26,AP25=AP26)</f>
        <v>0</v>
      </c>
      <c r="BN25" s="47" t="b">
        <f>AND(NOT(BH25),NOT(BI25),NOT(BK25),AN25=AN27,AO25=AO27,AP25=AP27)</f>
        <v>0</v>
      </c>
      <c r="BO25" s="47" t="b">
        <f>AND(NOT(BH25),NOT(BJ25),NOT(BK25),AN25=AN28,AO25=AO28,AP25=AP28)</f>
        <v>0</v>
      </c>
      <c r="BP25" s="47" t="b">
        <f>AND(NOT(BH25),NOT(BI25),NOT(BL25),AN26=AN27,AO26=AO27)</f>
        <v>0</v>
      </c>
      <c r="BQ25" s="47" t="b">
        <f>AND(NOT(BH25),NOT(BJ25),NOT(BL25),AN26=AN28,AO26=AO28,AP26=AP28)</f>
        <v>0</v>
      </c>
      <c r="BR25" s="47" t="b">
        <f>AND(NOT(BH25),NOT(BK25),NOT(BL25),AN27=AN28,AO27=AO28,AP27=AP28)</f>
        <v>0</v>
      </c>
      <c r="BS25" s="47" t="b">
        <f t="array" ref="BS25">AND(NOT(BH25:BR25))</f>
        <v>0</v>
      </c>
      <c r="BT25" s="43" t="s">
        <v>69</v>
      </c>
      <c r="BU25" s="42">
        <f>IF($BM25,IF(F24-E24&lt;0,-0.5,IF(E24-F24&lt;0,0.5,0)),IF($BI25,IF($AZ25&gt;$AZ26,-0.5,IF($AZ25&lt;$AZ26,0.5,0)),IF($BJ25,IF($BA25&gt;$BA26,-0.5, IF($BA25&lt;$BA26,0.5,0)),0)))</f>
        <v>0</v>
      </c>
      <c r="BV25" s="42">
        <f>IF($BN25,IF(F26-E26&lt;0,-0.5,IF(E26-F26&lt;0,0.5,0)),IF($BI25,IF($AZ25&gt;$AZ27,-0.5,IF($AZ25&lt;$AZ27,0.5,0)),IF($BK25,IF($BB25&gt;$BB27,-0.5,IF($BB25&lt;$BB27,0.5,0)),0)))</f>
        <v>0</v>
      </c>
      <c r="BW25" s="44">
        <f>IF($BO25,IF(E28-F28&lt;0,-0.5,IF(F28-E28&lt;0,0.5,0)),IF($BJ25,IF($BA25&gt;$BA28,-0.5,IF($BA25&lt;$BA28,0.5,0)),IF($BK25,IF($BB25&gt;$BB28,-0.5, IF($BB25&lt;$BB28,0.5,0)),0)))</f>
        <v>0</v>
      </c>
    </row>
    <row r="26" spans="2:75" ht="10.15" customHeight="1">
      <c r="B26" s="114">
        <v>42027</v>
      </c>
      <c r="C26" s="115">
        <v>0.70833333333333337</v>
      </c>
      <c r="D26" s="116" t="str">
        <f>D24</f>
        <v>GHANA</v>
      </c>
      <c r="E26" s="141"/>
      <c r="F26" s="141"/>
      <c r="G26" s="117" t="str">
        <f>D25</f>
        <v>ALGERIE</v>
      </c>
      <c r="H26" s="22"/>
      <c r="I26" s="133">
        <f>AI26</f>
        <v>1</v>
      </c>
      <c r="J26" s="128" t="str">
        <f>INDEX(AM25:AM28,MATCH(AK26,$AL25:$AL28,0))</f>
        <v>SENEGAL</v>
      </c>
      <c r="K26" s="129">
        <f>INDEX(AN25:AN28,MATCH(AK26,$AL25:$AL28,0))</f>
        <v>0</v>
      </c>
      <c r="L26" s="130">
        <f>INDEX(AO25:AO28,MATCH(AK26,$AL25:$AL28,0))</f>
        <v>0</v>
      </c>
      <c r="M26" s="129">
        <f>INDEX(AP25:AP28,MATCH(AK26,$AL25:$AL28,0))</f>
        <v>0</v>
      </c>
      <c r="N26" s="131">
        <f>INDEX(AQ25:AQ28,MATCH(AK26,$AL25:$AL28,0))</f>
        <v>0</v>
      </c>
      <c r="O26" s="22"/>
      <c r="P26" s="22"/>
      <c r="Q26" s="22"/>
      <c r="R26" s="22"/>
      <c r="S26" s="160">
        <v>42039</v>
      </c>
      <c r="T26" s="158">
        <v>0.83333333333333337</v>
      </c>
      <c r="U26" s="140" t="str">
        <f>IF(100*V8+W8&gt;100*V9+W9,U8,IF(100*V8+W8&lt;100*V9+W9,U9,CONCATENATE(U8," ou ",U9)))</f>
        <v>A1 ou B2</v>
      </c>
      <c r="V26" s="7"/>
      <c r="W26" s="8"/>
      <c r="X26" s="136">
        <f>IF(100*V8+W8&gt;100*V9+W9,1,IF(100*V8+W8&lt;100*V9+W9,1,0))</f>
        <v>0</v>
      </c>
      <c r="Y26" s="136"/>
      <c r="Z26" s="22"/>
      <c r="AA26" s="22"/>
      <c r="AB26" s="22"/>
      <c r="AC26" s="22"/>
      <c r="AI26" s="37">
        <f>IF(ROUND(AK26,0)=ROUND(AK25,0),AI25,2)</f>
        <v>1</v>
      </c>
      <c r="AJ26" s="38">
        <f>ROUND(AK26,0)</f>
        <v>2</v>
      </c>
      <c r="AK26" s="39">
        <f>MAX(MIN(AL25:AL27),MIN(AL25,AL26,AL28),MIN(AL25,AL27,AL28),MIN(AL26:AL28))</f>
        <v>2.46</v>
      </c>
      <c r="AL26" s="53">
        <f>SUM(BD26:BG26)+2.46</f>
        <v>2.46</v>
      </c>
      <c r="AM26" s="41" t="str">
        <f>G24</f>
        <v>SENEGAL</v>
      </c>
      <c r="AN26" s="42">
        <f>SUM(AR26:AU26)</f>
        <v>0</v>
      </c>
      <c r="AO26" s="43">
        <f>F24+F27+E29</f>
        <v>0</v>
      </c>
      <c r="AP26" s="42">
        <f>E24+E27+F29</f>
        <v>0</v>
      </c>
      <c r="AQ26" s="44">
        <f>AO26-AP26</f>
        <v>0</v>
      </c>
      <c r="AR26" s="42">
        <f>IF(ISBLANK(F24),0,IF(AS25=3,0,IF(AS25=1,1,3)))</f>
        <v>0</v>
      </c>
      <c r="AS26" s="42" t="s">
        <v>69</v>
      </c>
      <c r="AT26" s="42">
        <f>IF(ISBLANK(E29),0,IF(AS27=3,0,IF(AS27=1,1,3)))</f>
        <v>0</v>
      </c>
      <c r="AU26" s="42">
        <f>IF(ISBLANK(F27),0,IF(F27&gt;E27,3,IF(F27=E27,1,0)))</f>
        <v>0</v>
      </c>
      <c r="AV26" s="43" t="b">
        <f>(10*(AQ25-AQ26)+AO25-AO26&lt;0)</f>
        <v>0</v>
      </c>
      <c r="AW26" s="42" t="s">
        <v>69</v>
      </c>
      <c r="AX26" s="42" t="b">
        <f>10*(AQ26-AQ27)+AO26-AO27&gt;0</f>
        <v>0</v>
      </c>
      <c r="AY26" s="44" t="b">
        <f>10*(AQ26-AQ28)+AO26-AO28&gt;0</f>
        <v>0</v>
      </c>
      <c r="AZ26" s="43">
        <f>10000*(AR26+AT26)+(F24-E24+E29-F29)*100+(F24+E29)</f>
        <v>0</v>
      </c>
      <c r="BA26" s="42">
        <f>10000*(AR26+AU26)+(F24-E24+F27-E27)*100+(F24+F27)</f>
        <v>0</v>
      </c>
      <c r="BB26" s="42" t="s">
        <v>69</v>
      </c>
      <c r="BC26" s="44">
        <f>10000*(AT26+AU26)+(F27-E27+E29-F29)*100+(F27+E29)</f>
        <v>0</v>
      </c>
      <c r="BD26" s="54">
        <f>-BE25</f>
        <v>0</v>
      </c>
      <c r="BE26" s="42" t="s">
        <v>69</v>
      </c>
      <c r="BF26" s="45">
        <f>IF($AN26&gt;$AN27,-0.5,IF($AN27&gt;$AN26,0.5,IF(AX26,-0.5,IF(AW27,0.5,BV26))))</f>
        <v>0</v>
      </c>
      <c r="BG26" s="46">
        <f>IF($AN26&gt;$AN28,-0.5,IF($AN28&gt;$AN26,0.5,IF(AY26,-0.5,IF(AW28,0.5,BW26))))</f>
        <v>0</v>
      </c>
      <c r="BH26" s="21"/>
      <c r="BI26" s="21"/>
      <c r="BJ26" s="21"/>
      <c r="BK26" s="21"/>
      <c r="BL26" s="21"/>
      <c r="BM26" s="21"/>
      <c r="BN26" s="21"/>
      <c r="BO26" s="21"/>
      <c r="BP26" s="21"/>
      <c r="BQ26" s="21"/>
      <c r="BR26" s="21"/>
      <c r="BS26" s="21"/>
      <c r="BT26" s="43"/>
      <c r="BU26" s="42" t="s">
        <v>69</v>
      </c>
      <c r="BV26" s="42">
        <f>IF($BP25,IF(F29-E29&lt;0,-0.5,IF(E29-F29&lt;0,0.5,0)),IF($BI25,IF($AZ26&gt;$AZ27,-0.5,IF($AZ26&lt;$AZ27,0.5,0)),IF($BL25,IF($BC26&gt;$BC27,-0.5,IF($BC26&lt;$BC27,0.5,0)),0)))</f>
        <v>0</v>
      </c>
      <c r="BW26" s="44">
        <f>IF($BQ25,IF(E27-F27&lt;0,-0.5,IF(F27-E27&lt;0,0.5,0)),IF($BJ25,IF($BA26&gt;$BA28,-0.5,IF($BA26&lt;$BA28,0.5,0)),IF($BL25,IF($BC26&gt;$BC28,-0.5,IF($BC26&lt;$BC28,0.5,0)),0)))</f>
        <v>0</v>
      </c>
    </row>
    <row r="27" spans="2:75" ht="10.15" customHeight="1">
      <c r="B27" s="114">
        <v>42027</v>
      </c>
      <c r="C27" s="115">
        <v>0.83333333333333337</v>
      </c>
      <c r="D27" s="116" t="str">
        <f>G25</f>
        <v>AFRIQUE DE SUD</v>
      </c>
      <c r="E27" s="141"/>
      <c r="F27" s="141"/>
      <c r="G27" s="117" t="str">
        <f>G24</f>
        <v>SENEGAL</v>
      </c>
      <c r="H27" s="22"/>
      <c r="I27" s="122">
        <f>AI27</f>
        <v>1</v>
      </c>
      <c r="J27" s="123" t="str">
        <f>INDEX(AM25:AM28,MATCH(AK27,$AL25:$AL28,0))</f>
        <v>ALGERIE</v>
      </c>
      <c r="K27" s="124">
        <f>INDEX(AN25:AN28,MATCH(AK27,$AL25:$AL28,0))</f>
        <v>0</v>
      </c>
      <c r="L27" s="125">
        <f>INDEX(AO25:AO28,MATCH(AK27,$AL25:$AL28,0))</f>
        <v>0</v>
      </c>
      <c r="M27" s="124">
        <f>INDEX(AP25:AP28,MATCH(AK27,$AL25:$AL28,0))</f>
        <v>0</v>
      </c>
      <c r="N27" s="126">
        <f>INDEX(AQ25:AQ28,MATCH(AK27,$AL25:$AL28,0))</f>
        <v>0</v>
      </c>
      <c r="O27" s="22"/>
      <c r="P27" s="22"/>
      <c r="Q27" s="22"/>
      <c r="R27" s="22"/>
      <c r="S27" s="161"/>
      <c r="T27" s="159"/>
      <c r="U27" s="140" t="str">
        <f>IF(100*V10+W10&gt;100*V11+W11,U10,IF(100*V10+W10&lt;100*V11+W11,U11,CONCATENATE(U10," ou ",U11)))</f>
        <v>C1 ou D2</v>
      </c>
      <c r="V27" s="142"/>
      <c r="W27" s="8"/>
      <c r="X27" s="136">
        <f>IF(100*V10+W10&gt;100*V11+W11,1,IF(100*V10+W10&lt;100*V11+W11,1,0))</f>
        <v>0</v>
      </c>
      <c r="Y27" s="136"/>
      <c r="Z27" s="22"/>
      <c r="AA27" s="22"/>
      <c r="AB27" s="22"/>
      <c r="AC27" s="22"/>
      <c r="AI27" s="37">
        <f>IF(ROUND(AK27,0)=ROUND(AK26,0),AI26,3)</f>
        <v>1</v>
      </c>
      <c r="AJ27" s="38">
        <f>ROUND(AK27,0)</f>
        <v>2</v>
      </c>
      <c r="AK27" s="39">
        <f>MIN(MAX(AL25:AL27),MAX(AL25,AL26,AL28),MAX(AL25,AL27,AL28),MAX(AL26:AL28))</f>
        <v>2.4700000000000002</v>
      </c>
      <c r="AL27" s="53">
        <f>SUM(BD27:BG27)+2.47</f>
        <v>2.4700000000000002</v>
      </c>
      <c r="AM27" s="41" t="str">
        <f>D25</f>
        <v>ALGERIE</v>
      </c>
      <c r="AN27" s="42">
        <f>SUM(AR27:AU27)</f>
        <v>0</v>
      </c>
      <c r="AO27" s="43">
        <f>E25+F26+F29</f>
        <v>0</v>
      </c>
      <c r="AP27" s="42">
        <f>F25+E26+E29</f>
        <v>0</v>
      </c>
      <c r="AQ27" s="44">
        <f>AO27-AP27</f>
        <v>0</v>
      </c>
      <c r="AR27" s="42">
        <f>IF(ISBLANK(F26),0,IF(AT25=3,0,IF(AT25=1,1,3)))</f>
        <v>0</v>
      </c>
      <c r="AS27" s="42">
        <f>IF(ISBLANK(F29),0,IF(F29&gt;E29,3,IF(F29=E29,1,0)))</f>
        <v>0</v>
      </c>
      <c r="AT27" s="42" t="s">
        <v>69</v>
      </c>
      <c r="AU27" s="42">
        <f>IF(ISBLANK(E25),0,IF(E25&gt;F25,3,IF(E25=F25,1,0)))</f>
        <v>0</v>
      </c>
      <c r="AV27" s="43" t="b">
        <f>10*(AQ25-AQ27)+AO25-AO27&lt;0</f>
        <v>0</v>
      </c>
      <c r="AW27" s="42" t="b">
        <f>10*(AQ26-AQ27)+AO26-AO27&lt;0</f>
        <v>0</v>
      </c>
      <c r="AX27" s="42" t="s">
        <v>69</v>
      </c>
      <c r="AY27" s="44" t="b">
        <f>10*(AQ27-AQ28)+AO27-AO28&gt;0</f>
        <v>0</v>
      </c>
      <c r="AZ27" s="43">
        <f>10000*(AR27+AS27)+(F26-E26+F29-E29)*100+(F26+F29)</f>
        <v>0</v>
      </c>
      <c r="BA27" s="42" t="s">
        <v>69</v>
      </c>
      <c r="BB27" s="42">
        <f>10000*(AR27+AU27)+(E25-F25+F26-E26)*100+(E25+F26)</f>
        <v>0</v>
      </c>
      <c r="BC27" s="44">
        <f>10000*(AS27+AU27)+(E25-F25+F29-E29)*100+(E25+F29)</f>
        <v>0</v>
      </c>
      <c r="BD27" s="54">
        <f>-BF25</f>
        <v>0</v>
      </c>
      <c r="BE27" s="45">
        <f>-BF26</f>
        <v>0</v>
      </c>
      <c r="BF27" s="45" t="s">
        <v>69</v>
      </c>
      <c r="BG27" s="46">
        <f>IF($AN27&gt;$AN28,-0.5,IF($AN28&gt;$AN27,0.5,IF(AY27,-0.5,IF(AX28,0.5,BW27))))</f>
        <v>0</v>
      </c>
      <c r="BH27" s="21"/>
      <c r="BI27" s="21"/>
      <c r="BJ27" s="21"/>
      <c r="BK27" s="21"/>
      <c r="BL27" s="21"/>
      <c r="BM27" s="21"/>
      <c r="BN27" s="21"/>
      <c r="BO27" s="21"/>
      <c r="BP27" s="21"/>
      <c r="BQ27" s="21"/>
      <c r="BR27" s="21"/>
      <c r="BS27" s="21"/>
      <c r="BT27" s="43"/>
      <c r="BU27" s="42"/>
      <c r="BV27" s="42" t="s">
        <v>69</v>
      </c>
      <c r="BW27" s="44">
        <f>IF($BR25,IF(F25-E25&lt;0,-0.5,IF(E25-F25&lt;0,0.5,0)),IF($BK25,IF($BB27&gt;$BB28,-0.5,IF($BB27&lt;$BB28,0.5,0)),IF($BL25,IF($BC27&gt;$BC28,-0.5,IF($BC27&lt;$BC28,0.5,0)),0)))</f>
        <v>0</v>
      </c>
    </row>
    <row r="28" spans="2:75" ht="10.15" customHeight="1">
      <c r="B28" s="114">
        <v>42031</v>
      </c>
      <c r="C28" s="115">
        <v>0.79166666666666663</v>
      </c>
      <c r="D28" s="116" t="str">
        <f>G25</f>
        <v>AFRIQUE DE SUD</v>
      </c>
      <c r="E28" s="141"/>
      <c r="F28" s="141"/>
      <c r="G28" s="117" t="str">
        <f>D24</f>
        <v>GHANA</v>
      </c>
      <c r="H28" s="22"/>
      <c r="I28" s="127">
        <f>AI28</f>
        <v>1</v>
      </c>
      <c r="J28" s="128" t="str">
        <f>INDEX(AM25:AM28,MATCH(AK28,$AL25:$AL28,0))</f>
        <v>AFRIQUE DE SUD</v>
      </c>
      <c r="K28" s="129">
        <f>INDEX(AN25:AN28,MATCH(AK28,$AL25:$AL28,0))</f>
        <v>0</v>
      </c>
      <c r="L28" s="130">
        <f>INDEX(AO25:AO28,MATCH(AK28,$AL25:$AL28,0))</f>
        <v>0</v>
      </c>
      <c r="M28" s="129">
        <f>INDEX(AP25:AP28,MATCH(AK28,$AL25:$AL28,0))</f>
        <v>0</v>
      </c>
      <c r="N28" s="131">
        <f>INDEX(AQ25:AQ28,MATCH(AK28,$AL25:$AL28,0))</f>
        <v>0</v>
      </c>
      <c r="O28" s="22"/>
      <c r="P28" s="22"/>
      <c r="Q28" s="22"/>
      <c r="R28" s="22"/>
      <c r="S28" s="160">
        <v>42040</v>
      </c>
      <c r="T28" s="158">
        <v>0.83333333333333337</v>
      </c>
      <c r="U28" s="140" t="str">
        <f>IF(100*V12+W12&gt;100*V13+W13,U12,IF(100*V12+W12&lt;100*V13+W13,U13,CONCATENATE(U12," ou ",U13)))</f>
        <v>B1 ou A2</v>
      </c>
      <c r="V28" s="7"/>
      <c r="W28" s="8"/>
      <c r="X28" s="136">
        <f>IF(100*V12+W12&gt;100*V13+W13,1,IF(100*V12+W12&lt;100*V13+W13,1,0))</f>
        <v>0</v>
      </c>
      <c r="Y28" s="136"/>
      <c r="Z28" s="22"/>
      <c r="AA28" s="22"/>
      <c r="AB28" s="22"/>
      <c r="AC28" s="22"/>
      <c r="AI28" s="37">
        <f>IF(ROUND(AK28,0)=ROUND(AK27,0),AI27,4)</f>
        <v>1</v>
      </c>
      <c r="AJ28" s="38">
        <f>ROUND(AK28,0)</f>
        <v>2</v>
      </c>
      <c r="AK28" s="39">
        <f>MAX(AL25:AL28)</f>
        <v>2.48</v>
      </c>
      <c r="AL28" s="63">
        <f>SUM(BD28:BG28)+2.48</f>
        <v>2.48</v>
      </c>
      <c r="AM28" s="64" t="str">
        <f>G25</f>
        <v>AFRIQUE DE SUD</v>
      </c>
      <c r="AN28" s="47">
        <f>SUM(AR28:AU28)</f>
        <v>0</v>
      </c>
      <c r="AO28" s="65">
        <f>F25+E27+E28</f>
        <v>0</v>
      </c>
      <c r="AP28" s="47">
        <f>E25+F27+F28</f>
        <v>0</v>
      </c>
      <c r="AQ28" s="66">
        <f>AO28-AP28</f>
        <v>0</v>
      </c>
      <c r="AR28" s="47">
        <f>IF(ISBLANK(E28),0,IF(AU25=3,0,IF(AU25=1,1,3)))</f>
        <v>0</v>
      </c>
      <c r="AS28" s="47">
        <f>IF(ISBLANK(E27),0,IF(AU26=3,0,IF(AU26=1,1,3)))</f>
        <v>0</v>
      </c>
      <c r="AT28" s="47">
        <f>IF(ISBLANK(F25),0,IF(AU27=3,0,IF(AU27=1,1,3)))</f>
        <v>0</v>
      </c>
      <c r="AU28" s="47" t="s">
        <v>69</v>
      </c>
      <c r="AV28" s="65" t="b">
        <f>10*(AQ25-AQ28)+AO25-AO28&lt;0</f>
        <v>0</v>
      </c>
      <c r="AW28" s="47" t="b">
        <f>10*(AQ26-AQ28)+AO26-AO28&lt;0</f>
        <v>0</v>
      </c>
      <c r="AX28" s="47" t="b">
        <f>10*(AQ27-AQ28)+AO27-AO28&lt;0</f>
        <v>0</v>
      </c>
      <c r="AY28" s="66" t="s">
        <v>69</v>
      </c>
      <c r="AZ28" s="65" t="s">
        <v>69</v>
      </c>
      <c r="BA28" s="47">
        <f>10000*(AR28+AS28)+(E27-F27+E28-F28)*100+(E27+E28)</f>
        <v>0</v>
      </c>
      <c r="BB28" s="47">
        <f>10000*(AR28+AT28)+(E28-F28+F25-E25)*100+(E28+F25)</f>
        <v>0</v>
      </c>
      <c r="BC28" s="66">
        <f>10000*(AS28+AT28)+(E27-F27+F25-E25)*100+(E27+F25)</f>
        <v>0</v>
      </c>
      <c r="BD28" s="67">
        <f>-BG25</f>
        <v>0</v>
      </c>
      <c r="BE28" s="68">
        <f>-BG26</f>
        <v>0</v>
      </c>
      <c r="BF28" s="68">
        <f>-BG27</f>
        <v>0</v>
      </c>
      <c r="BG28" s="66" t="s">
        <v>69</v>
      </c>
      <c r="BH28" s="21"/>
      <c r="BI28" s="21"/>
      <c r="BJ28" s="21"/>
      <c r="BK28" s="21"/>
      <c r="BL28" s="21"/>
      <c r="BM28" s="21"/>
      <c r="BN28" s="21"/>
      <c r="BO28" s="21"/>
      <c r="BP28" s="21"/>
      <c r="BQ28" s="21"/>
      <c r="BR28" s="21"/>
      <c r="BS28" s="21"/>
      <c r="BT28" s="65"/>
      <c r="BU28" s="47"/>
      <c r="BV28" s="47"/>
      <c r="BW28" s="66" t="s">
        <v>69</v>
      </c>
    </row>
    <row r="29" spans="2:75" ht="10.15" customHeight="1">
      <c r="B29" s="118">
        <v>42031</v>
      </c>
      <c r="C29" s="119">
        <v>0.79166666666666663</v>
      </c>
      <c r="D29" s="120" t="str">
        <f>G24</f>
        <v>SENEGAL</v>
      </c>
      <c r="E29" s="141"/>
      <c r="F29" s="141"/>
      <c r="G29" s="121" t="str">
        <f>D25</f>
        <v>ALGERIE</v>
      </c>
      <c r="H29" s="22"/>
      <c r="I29" s="69"/>
      <c r="J29" s="70" t="str">
        <f>IF(OR(I27&lt;3,I26&lt;2),"TIRAGE AU SORT !!!"," ")</f>
        <v>TIRAGE AU SORT !!!</v>
      </c>
      <c r="K29" s="71"/>
      <c r="L29" s="71"/>
      <c r="M29" s="71"/>
      <c r="N29" s="71"/>
      <c r="O29" s="22"/>
      <c r="P29" s="22"/>
      <c r="Q29" s="22"/>
      <c r="R29" s="22"/>
      <c r="S29" s="161"/>
      <c r="T29" s="159"/>
      <c r="U29" s="140" t="str">
        <f>IF(100*V14+W14&gt;100*V15+W15,U14,IF(100*V14+W14&lt;100*V15+W15,U15,CONCATENATE(U14," ou ",U15)))</f>
        <v>D1 ou C2</v>
      </c>
      <c r="V29" s="142"/>
      <c r="W29" s="8"/>
      <c r="X29" s="136">
        <f>IF(100*V14+W14&gt;100*V15+W15,1,IF(100*V14+W14&lt;100*V15+W15,1,0))</f>
        <v>0</v>
      </c>
      <c r="Y29" s="136"/>
      <c r="Z29" s="22"/>
      <c r="AA29" s="22"/>
      <c r="AB29" s="22"/>
      <c r="AC29" s="22"/>
    </row>
    <row r="30" spans="2:75" ht="10.15" customHeight="1">
      <c r="B30" s="72"/>
      <c r="C30" s="72"/>
      <c r="D30" s="72"/>
      <c r="E30" s="72"/>
      <c r="F30" s="72"/>
      <c r="G30" s="72"/>
      <c r="H30" s="22"/>
      <c r="I30" s="73"/>
      <c r="J30" s="22"/>
      <c r="K30" s="22"/>
      <c r="L30" s="22"/>
      <c r="M30" s="22"/>
      <c r="N30" s="22"/>
      <c r="O30" s="22"/>
      <c r="P30" s="22"/>
      <c r="Q30" s="22"/>
      <c r="R30" s="22"/>
      <c r="S30" s="162"/>
      <c r="T30" s="157"/>
      <c r="U30" s="75"/>
      <c r="V30" s="76"/>
      <c r="W30" s="76"/>
      <c r="X30" s="136">
        <f>IF(100*V16+W16&gt;100*V17+W17,1,IF(100*V16+W16&lt;100*V17+W17,1,0))</f>
        <v>0</v>
      </c>
      <c r="Y30" s="136"/>
      <c r="Z30" s="22"/>
      <c r="AA30" s="22"/>
      <c r="AB30" s="22"/>
      <c r="AC30" s="22"/>
    </row>
    <row r="31" spans="2:75" ht="10.15" customHeight="1">
      <c r="B31" s="105" t="s">
        <v>73</v>
      </c>
      <c r="C31" s="106"/>
      <c r="D31" s="107"/>
      <c r="E31" s="108"/>
      <c r="F31" s="108"/>
      <c r="G31" s="109"/>
      <c r="H31" s="22"/>
      <c r="I31" s="73"/>
      <c r="J31" s="22"/>
      <c r="K31" s="22"/>
      <c r="L31" s="22"/>
      <c r="M31" s="22"/>
      <c r="N31" s="22"/>
      <c r="O31" s="22"/>
      <c r="P31" s="22"/>
      <c r="Q31" s="22"/>
      <c r="R31" s="22"/>
      <c r="S31" s="162"/>
      <c r="T31" s="157"/>
      <c r="U31" s="75"/>
      <c r="V31" s="76"/>
      <c r="W31" s="76"/>
      <c r="X31" s="136">
        <f>IF(100*V18+W18&gt;100*V19+W19,1,IF(100*V18+W18&lt;100*V19+W19,1,0))</f>
        <v>0</v>
      </c>
      <c r="Y31" s="136"/>
      <c r="Z31" s="22"/>
      <c r="AA31" s="22"/>
      <c r="AB31" s="22"/>
      <c r="AC31" s="22"/>
    </row>
    <row r="32" spans="2:75" ht="10.15" customHeight="1">
      <c r="B32" s="110">
        <v>42024</v>
      </c>
      <c r="C32" s="111">
        <v>0.70833333333333337</v>
      </c>
      <c r="D32" s="112" t="s">
        <v>99</v>
      </c>
      <c r="E32" s="141"/>
      <c r="F32" s="141"/>
      <c r="G32" s="113" t="s">
        <v>100</v>
      </c>
      <c r="H32" s="22"/>
      <c r="I32" s="73"/>
      <c r="J32" s="134" t="s">
        <v>73</v>
      </c>
      <c r="K32" s="134" t="s">
        <v>35</v>
      </c>
      <c r="L32" s="134" t="s">
        <v>34</v>
      </c>
      <c r="M32" s="134" t="s">
        <v>21</v>
      </c>
      <c r="N32" s="135" t="str">
        <f>"+/-"</f>
        <v>+/-</v>
      </c>
      <c r="O32" s="22"/>
      <c r="P32" s="22"/>
      <c r="Q32" s="22"/>
      <c r="R32" s="22"/>
      <c r="S32" s="162"/>
      <c r="T32" s="157"/>
      <c r="U32" s="75"/>
      <c r="V32" s="76"/>
      <c r="W32" s="76"/>
      <c r="X32" s="136">
        <f>IF(100*V20+W20&gt;100*V21+W21,1,IF(100*V20+W20&lt;100*V21+W21,1,0))</f>
        <v>0</v>
      </c>
      <c r="Y32" s="136"/>
      <c r="Z32" s="22"/>
      <c r="AA32" s="22"/>
      <c r="AB32" s="22"/>
      <c r="AC32" s="22"/>
      <c r="AL32" s="27" t="s">
        <v>36</v>
      </c>
      <c r="AM32" s="28" t="s">
        <v>37</v>
      </c>
      <c r="AN32" s="29" t="s">
        <v>35</v>
      </c>
      <c r="AO32" s="27" t="s">
        <v>38</v>
      </c>
      <c r="AP32" s="29" t="s">
        <v>39</v>
      </c>
      <c r="AQ32" s="30" t="s">
        <v>40</v>
      </c>
      <c r="AR32" s="29" t="s">
        <v>41</v>
      </c>
      <c r="AS32" s="29" t="s">
        <v>42</v>
      </c>
      <c r="AT32" s="29" t="s">
        <v>43</v>
      </c>
      <c r="AU32" s="29" t="s">
        <v>44</v>
      </c>
      <c r="AV32" s="27" t="s">
        <v>45</v>
      </c>
      <c r="AW32" s="29" t="s">
        <v>46</v>
      </c>
      <c r="AX32" s="29" t="s">
        <v>47</v>
      </c>
      <c r="AY32" s="30" t="s">
        <v>48</v>
      </c>
      <c r="AZ32" s="27" t="s">
        <v>49</v>
      </c>
      <c r="BA32" s="29" t="s">
        <v>50</v>
      </c>
      <c r="BB32" s="29" t="s">
        <v>51</v>
      </c>
      <c r="BC32" s="30" t="s">
        <v>52</v>
      </c>
      <c r="BD32" s="27" t="s">
        <v>53</v>
      </c>
      <c r="BE32" s="29" t="s">
        <v>54</v>
      </c>
      <c r="BF32" s="29" t="s">
        <v>55</v>
      </c>
      <c r="BG32" s="30" t="s">
        <v>56</v>
      </c>
      <c r="BH32" s="27" t="s">
        <v>57</v>
      </c>
      <c r="BI32" s="29" t="s">
        <v>49</v>
      </c>
      <c r="BJ32" s="29" t="s">
        <v>50</v>
      </c>
      <c r="BK32" s="29" t="s">
        <v>51</v>
      </c>
      <c r="BL32" s="29" t="s">
        <v>52</v>
      </c>
      <c r="BM32" s="29" t="s">
        <v>58</v>
      </c>
      <c r="BN32" s="29" t="s">
        <v>59</v>
      </c>
      <c r="BO32" s="29" t="s">
        <v>60</v>
      </c>
      <c r="BP32" s="29" t="s">
        <v>61</v>
      </c>
      <c r="BQ32" s="29" t="s">
        <v>62</v>
      </c>
      <c r="BR32" s="29" t="s">
        <v>63</v>
      </c>
      <c r="BS32" s="30" t="s">
        <v>64</v>
      </c>
      <c r="BT32" s="27" t="s">
        <v>65</v>
      </c>
      <c r="BU32" s="29" t="s">
        <v>66</v>
      </c>
      <c r="BV32" s="29" t="s">
        <v>67</v>
      </c>
      <c r="BW32" s="30" t="s">
        <v>68</v>
      </c>
    </row>
    <row r="33" spans="2:195" ht="10.15" customHeight="1">
      <c r="B33" s="114">
        <v>42024</v>
      </c>
      <c r="C33" s="115">
        <v>0.83333333333333337</v>
      </c>
      <c r="D33" s="116" t="s">
        <v>101</v>
      </c>
      <c r="E33" s="141"/>
      <c r="F33" s="141"/>
      <c r="G33" s="117" t="s">
        <v>102</v>
      </c>
      <c r="H33" s="22"/>
      <c r="I33" s="132">
        <f>AI33</f>
        <v>1</v>
      </c>
      <c r="J33" s="123" t="str">
        <f>INDEX(AM33:AM36,MATCH(AK33,$AL33:$AL36,0))</f>
        <v>COTE D'IVOIR</v>
      </c>
      <c r="K33" s="124">
        <f>INDEX(AN33:AN36,MATCH(AK33,$AL33:$AL36,0))</f>
        <v>0</v>
      </c>
      <c r="L33" s="125">
        <f>INDEX(AO33:AO36,MATCH(AK33,$AL33:$AL36,0))</f>
        <v>0</v>
      </c>
      <c r="M33" s="124">
        <f>INDEX(AP33:AP36,MATCH(AK33,$AL33:$AL36,0))</f>
        <v>0</v>
      </c>
      <c r="N33" s="126">
        <f>INDEX(AQ33:AQ36,MATCH(AK33,$AL33:$AL36,0))</f>
        <v>0</v>
      </c>
      <c r="O33" s="22"/>
      <c r="P33" s="22"/>
      <c r="Q33" s="22"/>
      <c r="R33" s="22"/>
      <c r="S33" s="162"/>
      <c r="T33" s="157"/>
      <c r="U33" s="75"/>
      <c r="V33" s="76"/>
      <c r="W33" s="76"/>
      <c r="X33" s="136">
        <f>IF(100*V22+W22&gt;100*V23+W23,1,IF(100*V22+W22&lt;100*V23+W23,1,0))</f>
        <v>0</v>
      </c>
      <c r="Y33" s="136"/>
      <c r="Z33" s="22"/>
      <c r="AA33" s="22"/>
      <c r="AB33" s="22"/>
      <c r="AC33" s="22"/>
      <c r="AI33" s="37">
        <v>1</v>
      </c>
      <c r="AJ33" s="38">
        <f>ROUND(AK33,0)</f>
        <v>2</v>
      </c>
      <c r="AK33" s="39">
        <f>MIN(AL33:AL36)</f>
        <v>2.4500000000000002</v>
      </c>
      <c r="AL33" s="40">
        <f>SUM(BD33:BG33)+2.45</f>
        <v>2.4500000000000002</v>
      </c>
      <c r="AM33" s="41" t="str">
        <f>D32</f>
        <v>COTE D'IVOIR</v>
      </c>
      <c r="AN33" s="42">
        <f>SUM(AR33:AU33)</f>
        <v>0</v>
      </c>
      <c r="AO33" s="43">
        <f>E32+E34+F36</f>
        <v>0</v>
      </c>
      <c r="AP33" s="42">
        <f>F32+F34+E36</f>
        <v>0</v>
      </c>
      <c r="AQ33" s="44">
        <f>AO33-AP33</f>
        <v>0</v>
      </c>
      <c r="AR33" s="42" t="s">
        <v>69</v>
      </c>
      <c r="AS33" s="42">
        <f>IF(ISBLANK(E32),0,IF(E32&gt;F32,3,IF(E32=F32,1,0)))</f>
        <v>0</v>
      </c>
      <c r="AT33" s="42">
        <f>IF(ISBLANK(E34),0,IF(E34&gt;F34,3,IF(E34=F34,1,0)))</f>
        <v>0</v>
      </c>
      <c r="AU33" s="42">
        <f>IF(ISBLANK(F36),0,IF(F36&gt;E36,3,IF(F36=E36,1,0)))</f>
        <v>0</v>
      </c>
      <c r="AV33" s="43" t="s">
        <v>69</v>
      </c>
      <c r="AW33" s="42" t="b">
        <f>(10*(AQ33-AQ34)+AO33-AO34&gt;0)</f>
        <v>0</v>
      </c>
      <c r="AX33" s="42" t="b">
        <f>10*(AQ33-AQ35)+AO33-AO35&gt;0</f>
        <v>0</v>
      </c>
      <c r="AY33" s="44" t="b">
        <f>10*(AQ33-AQ36)+AO33-AO36&gt;0</f>
        <v>0</v>
      </c>
      <c r="AZ33" s="43">
        <f>10000*(AS33+AT33)+(E34-F34+E32-F32)*100+(E34+E32)</f>
        <v>0</v>
      </c>
      <c r="BA33" s="42">
        <f>10000*(AS33+AU33)+(E32-F32+F36-E36)*100+(E32+F36)</f>
        <v>0</v>
      </c>
      <c r="BB33" s="42">
        <f>10000*(AT33+AU33)+(F36-E36+E34-F34)*100+(F36+E34)</f>
        <v>0</v>
      </c>
      <c r="BC33" s="44" t="s">
        <v>69</v>
      </c>
      <c r="BD33" s="43" t="s">
        <v>69</v>
      </c>
      <c r="BE33" s="45">
        <f>IF($AN33&gt;$AN34,-0.5,IF($AN34&gt;$AN33,0.5,IF(AW33,-0.5,IF(AV34,0.5,BU33))))</f>
        <v>0</v>
      </c>
      <c r="BF33" s="45">
        <f>IF($AN33&gt;$AN35,-0.5,IF($AN35&gt;$AN33,0.5,IF(AX33,-0.5,IF(AV35,0.5,BV33))))</f>
        <v>0</v>
      </c>
      <c r="BG33" s="46">
        <f>IF($AN33&gt;$AN36,-0.5,IF($AN36&gt;$AN33,0.5,IF(AY33,-0.5,IF(AV36,0.5,BW33))))</f>
        <v>0</v>
      </c>
      <c r="BH33" s="47" t="b">
        <f>AND(AND(AN33=AN34,AN34=AN35,AN35=AN36),AND(AO33=AO34,AO34=AO35,AO35=AO36),AND(AP33=AP34,AP34=AP35,AP35=AP36))</f>
        <v>1</v>
      </c>
      <c r="BI33" s="47" t="b">
        <f>AND(NOT(BH33),AN33=AN34,AN33=AN35,AO33=AO34,AO33=AO35,AP33=AP34,AP33=AP35)</f>
        <v>0</v>
      </c>
      <c r="BJ33" s="47" t="b">
        <f>AND(NOT(BH33),AN33=AN34,AN33=AN36,AO33=AO34,AO33=AO36,AP33=AP34,AP33=AP36)</f>
        <v>0</v>
      </c>
      <c r="BK33" s="47" t="b">
        <f>AND(NOT(BH33),AN33=AN35,AN33=AN36,AO33=AO35,AO33=AO36,AP33=AP35,AP33=AP36)</f>
        <v>0</v>
      </c>
      <c r="BL33" s="47" t="b">
        <f>AND(NOT(BH33),AN34=AN35,AN34=AN36,AO34=AO35,AO34=AO36,AP34=AP35,AP34=AP36)</f>
        <v>0</v>
      </c>
      <c r="BM33" s="47" t="b">
        <f>AND(NOT(BH33),NOT(BI33),NOT(BJ33),AN33=AN34,AO33=AO34,AP33=AP34)</f>
        <v>0</v>
      </c>
      <c r="BN33" s="47" t="b">
        <f>AND(NOT(BH33),NOT(BI33),NOT(BK33),AN33=AN35,AO33=AO35,AP33=AP35)</f>
        <v>0</v>
      </c>
      <c r="BO33" s="47" t="b">
        <f>AND(NOT(BH33),NOT(BJ33),NOT(BK33),AN33=AN36,AO33=AO36,AP33=AP36)</f>
        <v>0</v>
      </c>
      <c r="BP33" s="47" t="b">
        <f>AND(NOT(BH33),NOT(BI33),NOT(BL33),AN34=AN35,AO34=AO35)</f>
        <v>0</v>
      </c>
      <c r="BQ33" s="47" t="b">
        <f>AND(NOT(BH33),NOT(BJ33),NOT(BL33),AN34=AN36,AO34=AO36,AP34=AP36)</f>
        <v>0</v>
      </c>
      <c r="BR33" s="47" t="b">
        <f>AND(NOT(BH33),NOT(BK33),NOT(BL33),AN35=AN36,AO35=AO36,AP35=AP36)</f>
        <v>0</v>
      </c>
      <c r="BS33" s="47" t="b">
        <f t="array" ref="BS33">AND(NOT(BH33:BR33))</f>
        <v>0</v>
      </c>
      <c r="BT33" s="43" t="s">
        <v>69</v>
      </c>
      <c r="BU33" s="42">
        <f>IF($BM33,IF(F32-E32&lt;0,-0.5,IF(E32-F32&lt;0,0.5,0)),IF($BI33,IF($AZ33&gt;$AZ34,-0.5,IF($AZ33&lt;$AZ34,0.5,0)),IF($BJ33,IF($BA33&gt;$BA34,-0.5, IF($BA33&lt;$BA34,0.5,0)),0)))</f>
        <v>0</v>
      </c>
      <c r="BV33" s="42">
        <f>IF($BN33,IF(F34-E34&lt;0,-0.5,IF(E34-F34&lt;0,0.5,0)),IF($BI33,IF($AZ33&gt;$AZ35,-0.5,IF($AZ33&lt;$AZ35,0.5,0)),IF($BK33,IF($BB33&gt;$BB35,-0.5,IF($BB33&lt;$BB35,0.5,0)),0)))</f>
        <v>0</v>
      </c>
      <c r="BW33" s="44">
        <f>IF($BO33,IF(E36-F36&lt;0,-0.5,IF(F36-E36&lt;0,0.5,0)),IF($BJ33,IF($BA33&gt;$BA36,-0.5,IF($BA33&lt;$BA36,0.5,0)),IF($BK33,IF($BB33&gt;$BB36,-0.5, IF($BB33&lt;$BB36,0.5,0)),0)))</f>
        <v>0</v>
      </c>
    </row>
    <row r="34" spans="2:195" ht="10.15" customHeight="1">
      <c r="B34" s="114">
        <v>42028</v>
      </c>
      <c r="C34" s="115">
        <v>0.70833333333333337</v>
      </c>
      <c r="D34" s="116" t="str">
        <f>D32</f>
        <v>COTE D'IVOIR</v>
      </c>
      <c r="E34" s="141"/>
      <c r="F34" s="141"/>
      <c r="G34" s="117" t="str">
        <f>D33</f>
        <v xml:space="preserve">MALI </v>
      </c>
      <c r="H34" s="22"/>
      <c r="I34" s="133">
        <f>AI34</f>
        <v>1</v>
      </c>
      <c r="J34" s="128" t="str">
        <f>INDEX(AM33:AM36,MATCH(AK34,$AL33:$AL36,0))</f>
        <v>GUINEA</v>
      </c>
      <c r="K34" s="129">
        <f>INDEX(AN33:AN36,MATCH(AK34,$AL33:$AL36,0))</f>
        <v>0</v>
      </c>
      <c r="L34" s="130">
        <f>INDEX(AO33:AO36,MATCH(AK34,$AL33:$AL36,0))</f>
        <v>0</v>
      </c>
      <c r="M34" s="129">
        <f>INDEX(AP33:AP36,MATCH(AK34,$AL33:$AL36,0))</f>
        <v>0</v>
      </c>
      <c r="N34" s="131">
        <f>INDEX(AQ33:AQ36,MATCH(AK34,$AL33:$AL36,0))</f>
        <v>0</v>
      </c>
      <c r="O34" s="22"/>
      <c r="P34" s="22"/>
      <c r="Q34" s="22"/>
      <c r="R34" s="22"/>
      <c r="S34" s="22"/>
      <c r="T34" s="22"/>
      <c r="U34" s="22"/>
      <c r="V34" s="22"/>
      <c r="W34" s="22"/>
      <c r="X34" s="77"/>
      <c r="Y34" s="22"/>
      <c r="Z34" s="22"/>
      <c r="AA34" s="22"/>
      <c r="AB34" s="22"/>
      <c r="AC34" s="22"/>
      <c r="AI34" s="37">
        <f>IF(ROUND(AK34,0)=ROUND(AK33,0),AI33,2)</f>
        <v>1</v>
      </c>
      <c r="AJ34" s="38">
        <f>ROUND(AK34,0)</f>
        <v>2</v>
      </c>
      <c r="AK34" s="39">
        <f>MAX(MIN(AL33:AL35),MIN(AL33,AL34,AL36),MIN(AL33,AL35,AL36),MIN(AL34:AL36))</f>
        <v>2.46</v>
      </c>
      <c r="AL34" s="53">
        <f>SUM(BD34:BG34)+2.46</f>
        <v>2.46</v>
      </c>
      <c r="AM34" s="41" t="str">
        <f>G32</f>
        <v>GUINEA</v>
      </c>
      <c r="AN34" s="42">
        <f>SUM(AR34:AU34)</f>
        <v>0</v>
      </c>
      <c r="AO34" s="43">
        <f>F32+F35+E37</f>
        <v>0</v>
      </c>
      <c r="AP34" s="42">
        <f>E32+E35+F37</f>
        <v>0</v>
      </c>
      <c r="AQ34" s="44">
        <f>AO34-AP34</f>
        <v>0</v>
      </c>
      <c r="AR34" s="42">
        <f>IF(ISBLANK(F32),0,IF(AS33=3,0,IF(AS33=1,1,3)))</f>
        <v>0</v>
      </c>
      <c r="AS34" s="42" t="s">
        <v>69</v>
      </c>
      <c r="AT34" s="42">
        <f>IF(ISBLANK(E37),0,IF(AS35=3,0,IF(AS35=1,1,3)))</f>
        <v>0</v>
      </c>
      <c r="AU34" s="42">
        <f>IF(ISBLANK(F35),0,IF(F35&gt;E35,3,IF(F35=E35,1,0)))</f>
        <v>0</v>
      </c>
      <c r="AV34" s="43" t="b">
        <f>(10*(AQ33-AQ34)+AO33-AO34&lt;0)</f>
        <v>0</v>
      </c>
      <c r="AW34" s="42" t="s">
        <v>69</v>
      </c>
      <c r="AX34" s="42" t="b">
        <f>10*(AQ34-AQ35)+AO34-AO35&gt;0</f>
        <v>0</v>
      </c>
      <c r="AY34" s="44" t="b">
        <f>10*(AQ34-AQ36)+AO34-AO36&gt;0</f>
        <v>0</v>
      </c>
      <c r="AZ34" s="43">
        <f>10000*(AR34+AT34)+(F32-E32+E37-F37)*100+(F32+E37)</f>
        <v>0</v>
      </c>
      <c r="BA34" s="42">
        <f>10000*(AR34+AU34)+(F32-E32+F35-E35)*100+(F32+F35)</f>
        <v>0</v>
      </c>
      <c r="BB34" s="42" t="s">
        <v>69</v>
      </c>
      <c r="BC34" s="44">
        <f>10000*(AT34+AU34)+(F35-E35+E37-F37)*100+(F35+E37)</f>
        <v>0</v>
      </c>
      <c r="BD34" s="54">
        <f>-BE33</f>
        <v>0</v>
      </c>
      <c r="BE34" s="42" t="s">
        <v>69</v>
      </c>
      <c r="BF34" s="45">
        <f>IF($AN34&gt;$AN35,-0.5,IF($AN35&gt;$AN34,0.5,IF(AX34,-0.5,IF(AW35,0.5,BV34))))</f>
        <v>0</v>
      </c>
      <c r="BG34" s="46">
        <f>IF($AN34&gt;$AN36,-0.5,IF($AN36&gt;$AN34,0.5,IF(AY34,-0.5,IF(AW36,0.5,BW34))))</f>
        <v>0</v>
      </c>
      <c r="BH34" s="21"/>
      <c r="BI34" s="21"/>
      <c r="BJ34" s="21"/>
      <c r="BK34" s="21"/>
      <c r="BL34" s="21"/>
      <c r="BM34" s="21"/>
      <c r="BN34" s="21"/>
      <c r="BO34" s="21"/>
      <c r="BP34" s="21"/>
      <c r="BQ34" s="21"/>
      <c r="BR34" s="21"/>
      <c r="BS34" s="21"/>
      <c r="BT34" s="43"/>
      <c r="BU34" s="42" t="s">
        <v>69</v>
      </c>
      <c r="BV34" s="42">
        <f>IF($BP33,IF(F37-E37&lt;0,-0.5,IF(E37-F37&lt;0,0.5,0)),IF($BI33,IF($AZ34&gt;$AZ35,-0.5,IF($AZ34&lt;$AZ35,0.5,0)),IF($BL33,IF($BC34&gt;$BC35,-0.5,IF($BC34&lt;$BC35,0.5,0)),0)))</f>
        <v>0</v>
      </c>
      <c r="BW34" s="44">
        <f>IF($BQ33,IF(E35-F35&lt;0,-0.5,IF(F35-E35&lt;0,0.5,0)),IF($BJ33,IF($BA34&gt;$BA36,-0.5,IF($BA34&lt;$BA36,0.5,0)),IF($BL33,IF($BC34&gt;$BC36,-0.5,IF($BC34&lt;$BC36,0.5,0)),0)))</f>
        <v>0</v>
      </c>
    </row>
    <row r="35" spans="2:195" ht="10.15" customHeight="1">
      <c r="B35" s="114">
        <v>42028</v>
      </c>
      <c r="C35" s="115">
        <v>0.83333333333333337</v>
      </c>
      <c r="D35" s="116" t="str">
        <f>G33</f>
        <v>CAMEROONE</v>
      </c>
      <c r="E35" s="141"/>
      <c r="F35" s="141"/>
      <c r="G35" s="117" t="str">
        <f>G32</f>
        <v>GUINEA</v>
      </c>
      <c r="H35" s="22"/>
      <c r="I35" s="122">
        <f>AI35</f>
        <v>1</v>
      </c>
      <c r="J35" s="123" t="str">
        <f>INDEX(AM33:AM36,MATCH(AK35,$AL33:$AL36,0))</f>
        <v xml:space="preserve">MALI </v>
      </c>
      <c r="K35" s="124">
        <f>INDEX(AN33:AN36,MATCH(AK35,$AL33:$AL36,0))</f>
        <v>0</v>
      </c>
      <c r="L35" s="125">
        <f>INDEX(AO33:AO36,MATCH(AK35,$AL33:$AL36,0))</f>
        <v>0</v>
      </c>
      <c r="M35" s="124">
        <f>INDEX(AP33:AP36,MATCH(AK35,$AL33:$AL36,0))</f>
        <v>0</v>
      </c>
      <c r="N35" s="126">
        <f>INDEX(AQ33:AQ36,MATCH(AK35,$AL33:$AL36,0))</f>
        <v>0</v>
      </c>
      <c r="O35" s="22"/>
      <c r="P35" s="22"/>
      <c r="Q35" s="22"/>
      <c r="R35" s="22"/>
      <c r="S35" s="137" t="s">
        <v>103</v>
      </c>
      <c r="T35" s="138"/>
      <c r="U35" s="138"/>
      <c r="V35" s="138"/>
      <c r="W35" s="135" t="s">
        <v>1</v>
      </c>
      <c r="X35" s="22"/>
      <c r="Y35" s="78"/>
      <c r="Z35" s="22"/>
      <c r="AA35" s="22"/>
      <c r="AB35" s="22"/>
      <c r="AC35" s="22"/>
      <c r="AI35" s="37">
        <f>IF(ROUND(AK35,0)=ROUND(AK34,0),AI34,3)</f>
        <v>1</v>
      </c>
      <c r="AJ35" s="38">
        <f>ROUND(AK35,0)</f>
        <v>2</v>
      </c>
      <c r="AK35" s="39">
        <f>MIN(MAX(AL33:AL35),MAX(AL33,AL34,AL36),MAX(AL33,AL35,AL36),MAX(AL34:AL36))</f>
        <v>2.4700000000000002</v>
      </c>
      <c r="AL35" s="53">
        <f>SUM(BD35:BG35)+2.47</f>
        <v>2.4700000000000002</v>
      </c>
      <c r="AM35" s="41" t="str">
        <f>D33</f>
        <v xml:space="preserve">MALI </v>
      </c>
      <c r="AN35" s="42">
        <f>SUM(AR35:AU35)</f>
        <v>0</v>
      </c>
      <c r="AO35" s="43">
        <f>E33+F34+F37</f>
        <v>0</v>
      </c>
      <c r="AP35" s="42">
        <f>F33+E34+E37</f>
        <v>0</v>
      </c>
      <c r="AQ35" s="44">
        <f>AO35-AP35</f>
        <v>0</v>
      </c>
      <c r="AR35" s="42">
        <f>IF(ISBLANK(F34),0,IF(AT33=3,0,IF(AT33=1,1,3)))</f>
        <v>0</v>
      </c>
      <c r="AS35" s="42">
        <f>IF(ISBLANK(F37),0,IF(F37&gt;E37,3,IF(F37=E37,1,0)))</f>
        <v>0</v>
      </c>
      <c r="AT35" s="42" t="s">
        <v>69</v>
      </c>
      <c r="AU35" s="42">
        <f>IF(ISBLANK(E33),0,IF(E33&gt;F33,3,IF(E33=F33,1,0)))</f>
        <v>0</v>
      </c>
      <c r="AV35" s="43" t="b">
        <f>10*(AQ33-AQ35)+AO33-AO35&lt;0</f>
        <v>0</v>
      </c>
      <c r="AW35" s="42" t="b">
        <f>10*(AQ34-AQ35)+AO34-AO35&lt;0</f>
        <v>0</v>
      </c>
      <c r="AX35" s="42" t="s">
        <v>69</v>
      </c>
      <c r="AY35" s="44" t="b">
        <f>10*(AQ35-AQ36)+AO35-AO36&gt;0</f>
        <v>0</v>
      </c>
      <c r="AZ35" s="43">
        <f>10000*(AR35+AS35)+(F34-E34+F37-E37)*100+(F34+F37)</f>
        <v>0</v>
      </c>
      <c r="BA35" s="42" t="s">
        <v>69</v>
      </c>
      <c r="BB35" s="42">
        <f>10000*(AR35+AU35)+(E33-F33+F34-E34)*100+(E33+F34)</f>
        <v>0</v>
      </c>
      <c r="BC35" s="44">
        <f>10000*(AS35+AU35)+(E33-F33+F37-E37)*100+(E33+F37)</f>
        <v>0</v>
      </c>
      <c r="BD35" s="54">
        <f>-BF33</f>
        <v>0</v>
      </c>
      <c r="BE35" s="45">
        <f>-BF34</f>
        <v>0</v>
      </c>
      <c r="BF35" s="45" t="s">
        <v>69</v>
      </c>
      <c r="BG35" s="46">
        <f>IF($AN35&gt;$AN36,-0.5,IF($AN36&gt;$AN35,0.5,IF(AY35,-0.5,IF(AX36,0.5,BW35))))</f>
        <v>0</v>
      </c>
      <c r="BH35" s="21"/>
      <c r="BI35" s="21"/>
      <c r="BJ35" s="21"/>
      <c r="BK35" s="21"/>
      <c r="BL35" s="21"/>
      <c r="BM35" s="21"/>
      <c r="BN35" s="21"/>
      <c r="BO35" s="21"/>
      <c r="BP35" s="21"/>
      <c r="BQ35" s="21"/>
      <c r="BR35" s="21"/>
      <c r="BS35" s="21"/>
      <c r="BT35" s="43"/>
      <c r="BU35" s="42"/>
      <c r="BV35" s="42" t="s">
        <v>69</v>
      </c>
      <c r="BW35" s="44">
        <f>IF($BR33,IF(F33-E33&lt;0,-0.5,IF(E33-F33&lt;0,0.5,0)),IF($BK33,IF($BB35&gt;$BB36,-0.5,IF($BB35&lt;$BB36,0.5,0)),IF($BL33,IF($BC35&gt;$BC36,-0.5,IF($BC35&lt;$BC36,0.5,0)),0)))</f>
        <v>0</v>
      </c>
    </row>
    <row r="36" spans="2:195" ht="10.15" customHeight="1">
      <c r="B36" s="114">
        <v>42032</v>
      </c>
      <c r="C36" s="115">
        <v>0.79166666666666663</v>
      </c>
      <c r="D36" s="116" t="str">
        <f>G33</f>
        <v>CAMEROONE</v>
      </c>
      <c r="E36" s="141"/>
      <c r="F36" s="141"/>
      <c r="G36" s="117" t="str">
        <f>D32</f>
        <v>COTE D'IVOIR</v>
      </c>
      <c r="H36" s="22"/>
      <c r="I36" s="127">
        <f>AI36</f>
        <v>1</v>
      </c>
      <c r="J36" s="128" t="str">
        <f>INDEX(AM33:AM36,MATCH(AK36,$AL33:$AL36,0))</f>
        <v>CAMEROONE</v>
      </c>
      <c r="K36" s="129">
        <f>INDEX(AN33:AN36,MATCH(AK36,$AL33:$AL36,0))</f>
        <v>0</v>
      </c>
      <c r="L36" s="130">
        <f>INDEX(AO33:AO36,MATCH(AK36,$AL33:$AL36,0))</f>
        <v>0</v>
      </c>
      <c r="M36" s="129">
        <f>INDEX(AP33:AP36,MATCH(AK36,$AL33:$AL36,0))</f>
        <v>0</v>
      </c>
      <c r="N36" s="131">
        <f>INDEX(AQ33:AQ36,MATCH(AK36,$AL33:$AL36,0))</f>
        <v>0</v>
      </c>
      <c r="O36" s="22"/>
      <c r="P36" s="22"/>
      <c r="Q36" s="22"/>
      <c r="R36" s="22"/>
      <c r="S36" s="160">
        <v>42043</v>
      </c>
      <c r="T36" s="158">
        <v>0.83333333333333337</v>
      </c>
      <c r="U36" s="163" t="str">
        <f>IF(100*V26+W26&gt;100*V27+W27,U26,IF(100*V26+W26&lt;100*V27+W27,U27,IF(X27*X26=1,"-",CONCATENATE(U26," ou ",U27))))</f>
        <v>A1 ou B2 ou C1 ou D2</v>
      </c>
      <c r="V36" s="165"/>
      <c r="W36" s="165"/>
      <c r="X36" s="22"/>
      <c r="Y36" s="22"/>
      <c r="Z36" s="22"/>
      <c r="AA36" s="22"/>
      <c r="AB36" s="22"/>
      <c r="AC36" s="22"/>
      <c r="AI36" s="37">
        <f>IF(ROUND(AK36,0)=ROUND(AK35,0),AI35,4)</f>
        <v>1</v>
      </c>
      <c r="AJ36" s="38">
        <f>ROUND(AK36,0)</f>
        <v>2</v>
      </c>
      <c r="AK36" s="39">
        <f>MAX(AL33:AL36)</f>
        <v>2.48</v>
      </c>
      <c r="AL36" s="63">
        <f>SUM(BD36:BG36)+2.48</f>
        <v>2.48</v>
      </c>
      <c r="AM36" s="64" t="str">
        <f>G33</f>
        <v>CAMEROONE</v>
      </c>
      <c r="AN36" s="47">
        <f>SUM(AR36:AU36)</f>
        <v>0</v>
      </c>
      <c r="AO36" s="65">
        <f>F33+E35+E36</f>
        <v>0</v>
      </c>
      <c r="AP36" s="47">
        <f>E33+F35+F36</f>
        <v>0</v>
      </c>
      <c r="AQ36" s="66">
        <f>AO36-AP36</f>
        <v>0</v>
      </c>
      <c r="AR36" s="47">
        <f>IF(ISBLANK(E36),0,IF(AU33=3,0,IF(AU33=1,1,3)))</f>
        <v>0</v>
      </c>
      <c r="AS36" s="47">
        <f>IF(ISBLANK(E35),0,IF(AU34=3,0,IF(AU34=1,1,3)))</f>
        <v>0</v>
      </c>
      <c r="AT36" s="47">
        <f>IF(ISBLANK(F33),0,IF(AU35=3,0,IF(AU35=1,1,3)))</f>
        <v>0</v>
      </c>
      <c r="AU36" s="47" t="s">
        <v>69</v>
      </c>
      <c r="AV36" s="65" t="b">
        <f>10*(AQ33-AQ36)+AO33-AO36&lt;0</f>
        <v>0</v>
      </c>
      <c r="AW36" s="47" t="b">
        <f>10*(AQ34-AQ36)+AO34-AO36&lt;0</f>
        <v>0</v>
      </c>
      <c r="AX36" s="47" t="b">
        <f>10*(AQ35-AQ36)+AO35-AO36&lt;0</f>
        <v>0</v>
      </c>
      <c r="AY36" s="66" t="s">
        <v>69</v>
      </c>
      <c r="AZ36" s="65" t="s">
        <v>69</v>
      </c>
      <c r="BA36" s="47">
        <f>10000*(AR36+AS36)+(E35-F35+E36-F36)*100+(E35+E36)</f>
        <v>0</v>
      </c>
      <c r="BB36" s="47">
        <f>10000*(AR36+AT36)+(E36-F36+F33-E33)*100+(E36+F33)</f>
        <v>0</v>
      </c>
      <c r="BC36" s="66">
        <f>10000*(AS36+AT36)+(E35-F35+F33-E33)*100+(E35+F33)</f>
        <v>0</v>
      </c>
      <c r="BD36" s="67">
        <f>-BG33</f>
        <v>0</v>
      </c>
      <c r="BE36" s="68">
        <f>-BG34</f>
        <v>0</v>
      </c>
      <c r="BF36" s="68">
        <f>-BG35</f>
        <v>0</v>
      </c>
      <c r="BG36" s="66" t="s">
        <v>69</v>
      </c>
      <c r="BH36" s="21"/>
      <c r="BI36" s="21"/>
      <c r="BJ36" s="21"/>
      <c r="BK36" s="21"/>
      <c r="BL36" s="21"/>
      <c r="BM36" s="21"/>
      <c r="BN36" s="21"/>
      <c r="BO36" s="21"/>
      <c r="BP36" s="21"/>
      <c r="BQ36" s="21"/>
      <c r="BR36" s="21"/>
      <c r="BS36" s="21"/>
      <c r="BT36" s="65"/>
      <c r="BU36" s="47"/>
      <c r="BV36" s="47"/>
      <c r="BW36" s="66" t="s">
        <v>69</v>
      </c>
    </row>
    <row r="37" spans="2:195" ht="10.15" customHeight="1">
      <c r="B37" s="118">
        <v>42032</v>
      </c>
      <c r="C37" s="119">
        <v>0.79166666666666663</v>
      </c>
      <c r="D37" s="120" t="str">
        <f>G32</f>
        <v>GUINEA</v>
      </c>
      <c r="E37" s="141"/>
      <c r="F37" s="141"/>
      <c r="G37" s="121" t="str">
        <f>D33</f>
        <v xml:space="preserve">MALI </v>
      </c>
      <c r="H37" s="22"/>
      <c r="I37" s="69"/>
      <c r="J37" s="70" t="str">
        <f>IF(OR(I35&lt;3,I34&lt;2),"TIRAGE AU SORT !!!"," ")</f>
        <v>TIRAGE AU SORT !!!</v>
      </c>
      <c r="K37" s="71"/>
      <c r="L37" s="71"/>
      <c r="M37" s="71"/>
      <c r="N37" s="71"/>
      <c r="O37" s="22"/>
      <c r="P37" s="22"/>
      <c r="Q37" s="22"/>
      <c r="R37" s="22"/>
      <c r="S37" s="188"/>
      <c r="T37" s="189"/>
      <c r="U37" s="164"/>
      <c r="V37" s="166"/>
      <c r="W37" s="166"/>
      <c r="X37" s="22"/>
      <c r="Y37" s="22"/>
      <c r="Z37" s="22"/>
      <c r="AA37" s="22"/>
      <c r="AB37" s="22"/>
      <c r="AC37" s="22"/>
    </row>
    <row r="38" spans="2:195" ht="10.15" customHeight="1">
      <c r="B38" s="22"/>
      <c r="C38" s="22"/>
      <c r="D38" s="22"/>
      <c r="E38" s="22"/>
      <c r="F38" s="22"/>
      <c r="G38" s="22"/>
      <c r="H38" s="22"/>
      <c r="I38" s="73"/>
      <c r="J38" s="22"/>
      <c r="K38" s="22"/>
      <c r="L38" s="22"/>
      <c r="M38" s="22"/>
      <c r="N38" s="22"/>
      <c r="O38" s="22"/>
      <c r="P38" s="22"/>
      <c r="Q38" s="22"/>
      <c r="R38" s="22"/>
      <c r="S38" s="188"/>
      <c r="T38" s="189"/>
      <c r="U38" s="163" t="str">
        <f>IF(100*V28+W28&gt;100*V29+W29,U28,IF(100*V28+W28&lt;100*V29+W29,U29,IF(X30*X31=1,"-",CONCATENATE(U28," ou ",U29))))</f>
        <v>B1 ou A2 ou D1 ou C2</v>
      </c>
      <c r="V38" s="165"/>
      <c r="W38" s="165"/>
      <c r="X38" s="22"/>
      <c r="Y38" s="22"/>
      <c r="Z38" s="22"/>
      <c r="AA38" s="22"/>
      <c r="AB38" s="22"/>
      <c r="AC38" s="22"/>
    </row>
    <row r="39" spans="2:195" ht="10.15" customHeight="1">
      <c r="B39" s="79"/>
      <c r="C39" s="79"/>
      <c r="D39" s="79"/>
      <c r="E39" s="79"/>
      <c r="F39" s="79"/>
      <c r="G39" s="79"/>
      <c r="H39" s="22"/>
      <c r="I39" s="73"/>
      <c r="J39" s="22"/>
      <c r="K39" s="22"/>
      <c r="L39" s="22"/>
      <c r="M39" s="22"/>
      <c r="N39" s="22"/>
      <c r="O39" s="22"/>
      <c r="P39" s="22"/>
      <c r="Q39" s="22"/>
      <c r="R39" s="22"/>
      <c r="S39" s="161"/>
      <c r="T39" s="159"/>
      <c r="U39" s="164"/>
      <c r="V39" s="166"/>
      <c r="W39" s="166"/>
      <c r="X39" s="22"/>
      <c r="Y39" s="22"/>
      <c r="Z39" s="22"/>
      <c r="AA39" s="22"/>
      <c r="AB39" s="22"/>
      <c r="AC39" s="22"/>
      <c r="EX39" s="80" t="s">
        <v>75</v>
      </c>
      <c r="EY39" s="81"/>
      <c r="EZ39" s="4" t="str">
        <f>IF(100*V36+W36&gt;100*V37+W37,U36,IF(100*V36+W36&lt;100*V37+W37,U37," - "))</f>
        <v xml:space="preserve"> - </v>
      </c>
      <c r="FA39" s="5">
        <f>SUM(V36)</f>
        <v>0</v>
      </c>
      <c r="FB39" s="6">
        <f>SUM(W36)</f>
        <v>0</v>
      </c>
    </row>
    <row r="40" spans="2:195" ht="10.15" customHeight="1">
      <c r="B40" s="79"/>
      <c r="C40" s="79"/>
      <c r="D40" s="79"/>
      <c r="E40" s="79"/>
      <c r="F40" s="79"/>
      <c r="G40" s="79"/>
      <c r="H40" s="22"/>
      <c r="I40" s="82"/>
      <c r="J40" s="82"/>
      <c r="K40" s="82"/>
      <c r="L40" s="82"/>
      <c r="M40" s="82"/>
      <c r="N40" s="8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  <c r="AC40" s="22"/>
      <c r="AL40" s="27" t="s">
        <v>36</v>
      </c>
      <c r="AM40" s="28" t="s">
        <v>37</v>
      </c>
      <c r="AN40" s="29" t="s">
        <v>35</v>
      </c>
      <c r="AO40" s="27" t="s">
        <v>38</v>
      </c>
      <c r="AP40" s="29" t="s">
        <v>39</v>
      </c>
      <c r="AQ40" s="30" t="s">
        <v>40</v>
      </c>
      <c r="AR40" s="29" t="s">
        <v>41</v>
      </c>
      <c r="AS40" s="29" t="s">
        <v>42</v>
      </c>
      <c r="AT40" s="29" t="s">
        <v>43</v>
      </c>
      <c r="AU40" s="29" t="s">
        <v>44</v>
      </c>
      <c r="AV40" s="27" t="s">
        <v>45</v>
      </c>
      <c r="AW40" s="29" t="s">
        <v>46</v>
      </c>
      <c r="AX40" s="29" t="s">
        <v>47</v>
      </c>
      <c r="AY40" s="30" t="s">
        <v>48</v>
      </c>
      <c r="AZ40" s="27" t="s">
        <v>49</v>
      </c>
      <c r="BA40" s="29" t="s">
        <v>50</v>
      </c>
      <c r="BB40" s="29" t="s">
        <v>51</v>
      </c>
      <c r="BC40" s="30" t="s">
        <v>52</v>
      </c>
      <c r="BD40" s="27" t="s">
        <v>53</v>
      </c>
      <c r="BE40" s="29" t="s">
        <v>54</v>
      </c>
      <c r="BF40" s="29" t="s">
        <v>55</v>
      </c>
      <c r="BG40" s="30" t="s">
        <v>56</v>
      </c>
      <c r="BH40" s="27" t="s">
        <v>57</v>
      </c>
      <c r="BI40" s="29" t="s">
        <v>49</v>
      </c>
      <c r="BJ40" s="29" t="s">
        <v>50</v>
      </c>
      <c r="BK40" s="29" t="s">
        <v>51</v>
      </c>
      <c r="BL40" s="29" t="s">
        <v>52</v>
      </c>
      <c r="BM40" s="29" t="s">
        <v>58</v>
      </c>
      <c r="BN40" s="29" t="s">
        <v>59</v>
      </c>
      <c r="BO40" s="29" t="s">
        <v>60</v>
      </c>
      <c r="BP40" s="29" t="s">
        <v>61</v>
      </c>
      <c r="BQ40" s="29" t="s">
        <v>62</v>
      </c>
      <c r="BR40" s="29" t="s">
        <v>63</v>
      </c>
      <c r="BS40" s="30" t="s">
        <v>64</v>
      </c>
      <c r="BT40" s="27" t="s">
        <v>65</v>
      </c>
      <c r="BU40" s="29" t="s">
        <v>66</v>
      </c>
      <c r="BV40" s="29" t="s">
        <v>67</v>
      </c>
      <c r="BW40" s="30" t="s">
        <v>68</v>
      </c>
      <c r="EX40" s="83"/>
      <c r="EY40" s="84"/>
      <c r="EZ40" s="4" t="str">
        <f>IF(100*V38+W38&gt;100*V39+W39,U38,IF(100*V38+W38&lt;100*V39+W39,U39," - "))</f>
        <v xml:space="preserve"> - </v>
      </c>
      <c r="FA40" s="36">
        <f>SUM(V38)</f>
        <v>0</v>
      </c>
      <c r="FB40" s="6">
        <f>SUM(W38)</f>
        <v>0</v>
      </c>
    </row>
    <row r="41" spans="2:195" ht="10.15" customHeight="1">
      <c r="B41" s="79"/>
      <c r="C41" s="79"/>
      <c r="D41" s="79"/>
      <c r="E41" s="79"/>
      <c r="F41" s="79"/>
      <c r="G41" s="79"/>
      <c r="H41" s="22"/>
      <c r="I41" s="82"/>
      <c r="J41" s="82"/>
      <c r="K41" s="82"/>
      <c r="L41" s="82"/>
      <c r="M41" s="82"/>
      <c r="N41" s="82"/>
      <c r="O41" s="22"/>
      <c r="P41" s="22"/>
      <c r="Q41" s="22"/>
      <c r="R41" s="22"/>
      <c r="S41" s="190"/>
      <c r="T41" s="190"/>
      <c r="U41" s="190"/>
      <c r="V41" s="190"/>
      <c r="W41" s="156"/>
      <c r="X41" s="22"/>
      <c r="AI41" s="37">
        <v>1</v>
      </c>
      <c r="AJ41" s="38">
        <f>ROUND(AK41,0)</f>
        <v>2</v>
      </c>
      <c r="AK41" s="39">
        <f>MIN(AL41:AL44)</f>
        <v>2.4500000000000002</v>
      </c>
      <c r="AL41" s="40">
        <f>SUM(BD41:BG41)+2.45</f>
        <v>2.4500000000000002</v>
      </c>
      <c r="AM41" s="41">
        <f>D40</f>
        <v>0</v>
      </c>
      <c r="AN41" s="42">
        <f>SUM(AR41:AU41)</f>
        <v>0</v>
      </c>
      <c r="AO41" s="43">
        <f>E40+E42+F44</f>
        <v>0</v>
      </c>
      <c r="AP41" s="42">
        <f>F40+F42+E44</f>
        <v>0</v>
      </c>
      <c r="AQ41" s="44">
        <f>AO41-AP41</f>
        <v>0</v>
      </c>
      <c r="AR41" s="42" t="s">
        <v>69</v>
      </c>
      <c r="AS41" s="42">
        <f>IF(ISBLANK(E40),0,IF(E40&gt;F40,3,IF(E40=F40,1,0)))</f>
        <v>0</v>
      </c>
      <c r="AT41" s="42">
        <f>IF(ISBLANK(E42),0,IF(E42&gt;F42,3,IF(E42=F42,1,0)))</f>
        <v>0</v>
      </c>
      <c r="AU41" s="42">
        <f>IF(ISBLANK(F44),0,IF(F44&gt;E44,3,IF(F44=E44,1,0)))</f>
        <v>0</v>
      </c>
      <c r="AV41" s="43" t="s">
        <v>69</v>
      </c>
      <c r="AW41" s="42" t="b">
        <f>(10*(AQ41-AQ42)+AO41-AO42&gt;0)</f>
        <v>0</v>
      </c>
      <c r="AX41" s="42" t="b">
        <f>10*(AQ41-AQ43)+AO41-AO43&gt;0</f>
        <v>0</v>
      </c>
      <c r="AY41" s="44" t="b">
        <f>10*(AQ41-AQ44)+AO41-AO44&gt;0</f>
        <v>0</v>
      </c>
      <c r="AZ41" s="43">
        <f>10000*(AS41+AT41)+(E42-F42+E40-F40)*100+(E42+E40)</f>
        <v>0</v>
      </c>
      <c r="BA41" s="42">
        <f>10000*(AS41+AU41)+(E40-F40+F44-E44)*100+(E40+F44)</f>
        <v>0</v>
      </c>
      <c r="BB41" s="42">
        <f>10000*(AT41+AU41)+(F44-E44+E42-F42)*100+(F44+E42)</f>
        <v>0</v>
      </c>
      <c r="BC41" s="44" t="s">
        <v>69</v>
      </c>
      <c r="BD41" s="43" t="s">
        <v>69</v>
      </c>
      <c r="BE41" s="45">
        <f>IF($AN41&gt;$AN42,-0.5,IF($AN42&gt;$AN41,0.5,IF(AW41,-0.5,IF(AV42,0.5,BU41))))</f>
        <v>0</v>
      </c>
      <c r="BF41" s="45">
        <f>IF($AN41&gt;$AN43,-0.5,IF($AN43&gt;$AN41,0.5,IF(AX41,-0.5,IF(AV43,0.5,BV41))))</f>
        <v>0</v>
      </c>
      <c r="BG41" s="46">
        <f>IF($AN41&gt;$AN44,-0.5,IF($AN44&gt;$AN41,0.5,IF(AY41,-0.5,IF(AV44,0.5,BW41))))</f>
        <v>0</v>
      </c>
      <c r="BH41" s="47" t="b">
        <f>AND(AND(AN41=AN42,AN42=AN43,AN43=AN44),AND(AO41=AO42,AO42=AO43,AO43=AO44),AND(AP41=AP42,AP42=AP43,AP43=AP44))</f>
        <v>1</v>
      </c>
      <c r="BI41" s="47" t="b">
        <f>AND(NOT(BH41),AN41=AN42,AN41=AN43,AO41=AO42,AO41=AO43,AP41=AP42,AP41=AP43)</f>
        <v>0</v>
      </c>
      <c r="BJ41" s="47" t="b">
        <f>AND(NOT(BH41),AN41=AN42,AN41=AN44,AO41=AO42,AO41=AO44,AP41=AP42,AP41=AP44)</f>
        <v>0</v>
      </c>
      <c r="BK41" s="47" t="b">
        <f>AND(NOT(BH41),AN41=AN43,AN41=AN44,AO41=AO43,AO41=AO44,AP41=AP43,AP41=AP44)</f>
        <v>0</v>
      </c>
      <c r="BL41" s="47" t="b">
        <f>AND(NOT(BH41),AN42=AN43,AN42=AN44,AO42=AO43,AO42=AO44,AP42=AP43,AP42=AP44)</f>
        <v>0</v>
      </c>
      <c r="BM41" s="47" t="b">
        <f>AND(NOT(BH41),NOT(BI41),NOT(BJ41),AN41=AN42,AO41=AO42,AP41=AP42)</f>
        <v>0</v>
      </c>
      <c r="BN41" s="47" t="b">
        <f>AND(NOT(BH41),NOT(BI41),NOT(BK41),AN41=AN43,AO41=AO43,AP41=AP43)</f>
        <v>0</v>
      </c>
      <c r="BO41" s="47" t="b">
        <f>AND(NOT(BH41),NOT(BJ41),NOT(BK41),AN41=AN44,AO41=AO44,AP41=AP44)</f>
        <v>0</v>
      </c>
      <c r="BP41" s="47" t="b">
        <f>AND(NOT(BH41),NOT(BI41),NOT(BL41),AN42=AN43,AO42=AO43)</f>
        <v>0</v>
      </c>
      <c r="BQ41" s="47" t="b">
        <f>AND(NOT(BH41),NOT(BJ41),NOT(BL41),AN42=AN44,AO42=AO44,AP42=AP44)</f>
        <v>0</v>
      </c>
      <c r="BR41" s="47" t="b">
        <f>AND(NOT(BH41),NOT(BK41),NOT(BL41),AN43=AN44,AO43=AO44,AP43=AP44)</f>
        <v>0</v>
      </c>
      <c r="BS41" s="47" t="b">
        <f t="array" ref="BS41">AND(NOT(BH41:BR41))</f>
        <v>0</v>
      </c>
      <c r="BT41" s="43" t="s">
        <v>69</v>
      </c>
      <c r="BU41" s="42">
        <f>IF($BM41,IF(F40-E40&lt;0,-0.5,IF(E40-F40&lt;0,0.5,0)),IF($BI41,IF($AZ41&gt;$AZ42,-0.5,IF($AZ41&lt;$AZ42,0.5,0)),IF($BJ41,IF($BA41&gt;$BA42,-0.5, IF($BA41&lt;$BA42,0.5,0)),0)))</f>
        <v>0</v>
      </c>
      <c r="BV41" s="42">
        <f>IF($BN41,IF(F42-E42&lt;0,-0.5,IF(E42-F42&lt;0,0.5,0)),IF($BI41,IF($AZ41&gt;$AZ43,-0.5,IF($AZ41&lt;$AZ43,0.5,0)),IF($BK41,IF($BB41&gt;$BB43,-0.5,IF($BB41&lt;$BB43,0.5,0)),0)))</f>
        <v>0</v>
      </c>
      <c r="BW41" s="44">
        <f>IF($BO41,IF(E44-F44&lt;0,-0.5,IF(F44-E44&lt;0,0.5,0)),IF($BJ41,IF($BA41&gt;$BA44,-0.5,IF($BA41&lt;$BA44,0.5,0)),IF($BK41,IF($BB41&gt;$BB44,-0.5, IF($BB41&lt;$BB44,0.5,0)),0)))</f>
        <v>0</v>
      </c>
    </row>
    <row r="42" spans="2:195" ht="10.15" customHeight="1">
      <c r="B42" s="79"/>
      <c r="C42" s="79"/>
      <c r="D42" s="79"/>
      <c r="E42" s="79"/>
      <c r="F42" s="79"/>
      <c r="G42" s="79"/>
      <c r="H42" s="22"/>
      <c r="I42" s="82"/>
      <c r="J42" s="82"/>
      <c r="K42" s="82"/>
      <c r="L42" s="82"/>
      <c r="M42" s="82"/>
      <c r="N42" s="82"/>
      <c r="O42" s="22"/>
      <c r="P42" s="22"/>
      <c r="Q42" s="22"/>
      <c r="R42" s="22"/>
      <c r="S42" s="190"/>
      <c r="T42" s="190"/>
      <c r="U42" s="190"/>
      <c r="V42" s="190"/>
      <c r="W42" s="156"/>
      <c r="X42" s="22"/>
      <c r="AI42" s="37">
        <f>IF(ROUND(AK42,0)=ROUND(AK41,0),AI41,2)</f>
        <v>1</v>
      </c>
      <c r="AJ42" s="38">
        <f>ROUND(AK42,0)</f>
        <v>2</v>
      </c>
      <c r="AK42" s="39">
        <f>MAX(MIN(AL41:AL43),MIN(AL41,AL42,AL44),MIN(AL41,AL43,AL44),MIN(AL42:AL44))</f>
        <v>2.46</v>
      </c>
      <c r="AL42" s="53">
        <f>SUM(BD42:BG42)+2.46</f>
        <v>2.46</v>
      </c>
      <c r="AM42" s="41">
        <f>G40</f>
        <v>0</v>
      </c>
      <c r="AN42" s="42">
        <f>SUM(AR42:AU42)</f>
        <v>0</v>
      </c>
      <c r="AO42" s="43">
        <f>F40+F43+E45</f>
        <v>0</v>
      </c>
      <c r="AP42" s="42">
        <f>E40+E43+F45</f>
        <v>0</v>
      </c>
      <c r="AQ42" s="44">
        <f>AO42-AP42</f>
        <v>0</v>
      </c>
      <c r="AR42" s="42">
        <f>IF(ISBLANK(F40),0,IF(AS41=3,0,IF(AS41=1,1,3)))</f>
        <v>0</v>
      </c>
      <c r="AS42" s="42" t="s">
        <v>69</v>
      </c>
      <c r="AT42" s="42">
        <f>IF(ISBLANK(E45),0,IF(AS43=3,0,IF(AS43=1,1,3)))</f>
        <v>0</v>
      </c>
      <c r="AU42" s="42">
        <f>IF(ISBLANK(F43),0,IF(F43&gt;E43,3,IF(F43=E43,1,0)))</f>
        <v>0</v>
      </c>
      <c r="AV42" s="43" t="b">
        <f>(10*(AQ41-AQ42)+AO41-AO42&lt;0)</f>
        <v>0</v>
      </c>
      <c r="AW42" s="42" t="s">
        <v>69</v>
      </c>
      <c r="AX42" s="42" t="b">
        <f>10*(AQ42-AQ43)+AO42-AO43&gt;0</f>
        <v>0</v>
      </c>
      <c r="AY42" s="44" t="b">
        <f>10*(AQ42-AQ44)+AO42-AO44&gt;0</f>
        <v>0</v>
      </c>
      <c r="AZ42" s="43">
        <f>10000*(AR42+AT42)+(F40-E40+E45-F45)*100+(F40+E45)</f>
        <v>0</v>
      </c>
      <c r="BA42" s="42">
        <f>10000*(AR42+AU42)+(F40-E40+F43-E43)*100+(F40+F43)</f>
        <v>0</v>
      </c>
      <c r="BB42" s="42" t="s">
        <v>69</v>
      </c>
      <c r="BC42" s="44">
        <f>10000*(AT42+AU42)+(F43-E43+E45-F45)*100+(F43+E45)</f>
        <v>0</v>
      </c>
      <c r="BD42" s="54">
        <f>-BE41</f>
        <v>0</v>
      </c>
      <c r="BE42" s="42" t="s">
        <v>69</v>
      </c>
      <c r="BF42" s="45">
        <f>IF($AN42&gt;$AN43,-0.5,IF($AN43&gt;$AN42,0.5,IF(AX42,-0.5,IF(AW43,0.5,BV42))))</f>
        <v>0</v>
      </c>
      <c r="BG42" s="46">
        <f>IF($AN42&gt;$AN44,-0.5,IF($AN44&gt;$AN42,0.5,IF(AY42,-0.5,IF(AW44,0.5,BW42))))</f>
        <v>0</v>
      </c>
      <c r="BH42" s="21"/>
      <c r="BI42" s="21"/>
      <c r="BJ42" s="21"/>
      <c r="BK42" s="21"/>
      <c r="BL42" s="21"/>
      <c r="BM42" s="21"/>
      <c r="BN42" s="21"/>
      <c r="BO42" s="21"/>
      <c r="BP42" s="21"/>
      <c r="BQ42" s="21"/>
      <c r="BR42" s="21"/>
      <c r="BS42" s="21"/>
      <c r="BT42" s="43"/>
      <c r="BU42" s="42" t="s">
        <v>69</v>
      </c>
      <c r="BV42" s="42">
        <f>IF($BP41,IF(F45-E45&lt;0,-0.5,IF(E45-F45&lt;0,0.5,0)),IF($BI41,IF($AZ42&gt;$AZ43,-0.5,IF($AZ42&lt;$AZ43,0.5,0)),IF($BL41,IF($BC42&gt;$BC43,-0.5,IF($BC42&lt;$BC43,0.5,0)),0)))</f>
        <v>0</v>
      </c>
      <c r="BW42" s="44">
        <f>IF($BQ41,IF(E43-F43&lt;0,-0.5,IF(F43-E43&lt;0,0.5,0)),IF($BJ41,IF($BA42&gt;$BA44,-0.5,IF($BA42&lt;$BA44,0.5,0)),IF($BL41,IF($BC42&gt;$BC44,-0.5,IF($BC42&lt;$BC44,0.5,0)),0)))</f>
        <v>0</v>
      </c>
    </row>
    <row r="43" spans="2:195" ht="15.95" customHeight="1">
      <c r="B43" s="79"/>
      <c r="C43" s="79"/>
      <c r="D43" s="79"/>
      <c r="E43" s="79"/>
      <c r="F43" s="79"/>
      <c r="G43" s="79"/>
      <c r="H43" s="22"/>
      <c r="I43" s="82"/>
      <c r="J43" s="82"/>
      <c r="K43" s="82"/>
      <c r="L43" s="82"/>
      <c r="M43" s="82"/>
      <c r="N43" s="82"/>
      <c r="O43" s="22"/>
      <c r="P43" s="22"/>
      <c r="Q43" s="22"/>
      <c r="R43" s="22"/>
      <c r="X43" s="22"/>
      <c r="AI43" s="37">
        <f>IF(ROUND(AK43,0)=ROUND(AK42,0),AI42,3)</f>
        <v>1</v>
      </c>
      <c r="AJ43" s="38">
        <f>ROUND(AK43,0)</f>
        <v>2</v>
      </c>
      <c r="AK43" s="39">
        <f>MIN(MAX(AL41:AL43),MAX(AL41,AL42,AL44),MAX(AL41,AL43,AL44),MAX(AL42:AL44))</f>
        <v>2.4700000000000002</v>
      </c>
      <c r="AL43" s="53">
        <f>SUM(BD43:BG43)+2.47</f>
        <v>2.4700000000000002</v>
      </c>
      <c r="AM43" s="41">
        <f>D41</f>
        <v>0</v>
      </c>
      <c r="AN43" s="42">
        <f>SUM(AR43:AU43)</f>
        <v>0</v>
      </c>
      <c r="AO43" s="43">
        <f>E41+F42+F45</f>
        <v>0</v>
      </c>
      <c r="AP43" s="42">
        <f>F41+E42+E45</f>
        <v>0</v>
      </c>
      <c r="AQ43" s="44">
        <f>AO43-AP43</f>
        <v>0</v>
      </c>
      <c r="AR43" s="42">
        <f>IF(ISBLANK(F42),0,IF(AT41=3,0,IF(AT41=1,1,3)))</f>
        <v>0</v>
      </c>
      <c r="AS43" s="42">
        <f>IF(ISBLANK(F45),0,IF(F45&gt;E45,3,IF(F45=E45,1,0)))</f>
        <v>0</v>
      </c>
      <c r="AT43" s="42" t="s">
        <v>69</v>
      </c>
      <c r="AU43" s="42">
        <f>IF(ISBLANK(E41),0,IF(E41&gt;F41,3,IF(E41=F41,1,0)))</f>
        <v>0</v>
      </c>
      <c r="AV43" s="43" t="b">
        <f>10*(AQ41-AQ43)+AO41-AO43&lt;0</f>
        <v>0</v>
      </c>
      <c r="AW43" s="42" t="b">
        <f>10*(AQ42-AQ43)+AO42-AO43&lt;0</f>
        <v>0</v>
      </c>
      <c r="AX43" s="42" t="s">
        <v>69</v>
      </c>
      <c r="AY43" s="44" t="b">
        <f>10*(AQ43-AQ44)+AO43-AO44&gt;0</f>
        <v>0</v>
      </c>
      <c r="AZ43" s="43">
        <f>10000*(AR43+AS43)+(F42-E42+F45-E45)*100+(F42+F45)</f>
        <v>0</v>
      </c>
      <c r="BA43" s="42" t="s">
        <v>69</v>
      </c>
      <c r="BB43" s="42">
        <f>10000*(AR43+AU43)+(E41-F41+F42-E42)*100+(E41+F42)</f>
        <v>0</v>
      </c>
      <c r="BC43" s="44">
        <f>10000*(AS43+AU43)+(E41-F41+F45-E45)*100+(E41+F45)</f>
        <v>0</v>
      </c>
      <c r="BD43" s="54">
        <f>-BF41</f>
        <v>0</v>
      </c>
      <c r="BE43" s="45">
        <f>-BF42</f>
        <v>0</v>
      </c>
      <c r="BF43" s="45" t="s">
        <v>69</v>
      </c>
      <c r="BG43" s="46">
        <f>IF($AN43&gt;$AN44,-0.5,IF($AN44&gt;$AN43,0.5,IF(AY43,-0.5,IF(AX44,0.5,BW43))))</f>
        <v>0</v>
      </c>
      <c r="BH43" s="21"/>
      <c r="BI43" s="21"/>
      <c r="BJ43" s="21"/>
      <c r="BK43" s="21"/>
      <c r="BL43" s="21"/>
      <c r="BM43" s="21"/>
      <c r="BN43" s="21"/>
      <c r="BO43" s="21"/>
      <c r="BP43" s="21"/>
      <c r="BQ43" s="21"/>
      <c r="BR43" s="21"/>
      <c r="BS43" s="21"/>
      <c r="BT43" s="43"/>
      <c r="BU43" s="42"/>
      <c r="BV43" s="42" t="s">
        <v>69</v>
      </c>
      <c r="BW43" s="44">
        <f>IF($BR41,IF(F41-E41&lt;0,-0.5,IF(E41-F41&lt;0,0.5,0)),IF($BK41,IF($BB43&gt;$BB44,-0.5,IF($BB43&lt;$BB44,0.5,0)),IF($BL41,IF($BC43&gt;$BC44,-0.5,IF($BC43&lt;$BC44,0.5,0)),0)))</f>
        <v>0</v>
      </c>
    </row>
    <row r="44" spans="2:195" ht="15" customHeight="1">
      <c r="B44" s="79"/>
      <c r="C44" s="79"/>
      <c r="D44" s="79"/>
      <c r="E44" s="79"/>
      <c r="F44" s="79"/>
      <c r="G44" s="79"/>
      <c r="H44" s="22"/>
      <c r="I44" s="82"/>
      <c r="J44" s="82"/>
      <c r="K44" s="82"/>
      <c r="L44" s="82"/>
      <c r="M44" s="82"/>
      <c r="N44" s="82"/>
      <c r="O44" s="22"/>
      <c r="P44" s="22"/>
      <c r="Q44" s="22"/>
      <c r="R44" s="22"/>
      <c r="X44" s="22"/>
      <c r="AI44" s="37">
        <f>IF(ROUND(AK44,0)=ROUND(AK43,0),AI43,4)</f>
        <v>1</v>
      </c>
      <c r="AJ44" s="38">
        <f>ROUND(AK44,0)</f>
        <v>2</v>
      </c>
      <c r="AK44" s="39">
        <f>MAX(AL41:AL44)</f>
        <v>2.48</v>
      </c>
      <c r="AL44" s="63">
        <f>SUM(BD44:BG44)+2.48</f>
        <v>2.48</v>
      </c>
      <c r="AM44" s="64">
        <f>G41</f>
        <v>0</v>
      </c>
      <c r="AN44" s="47">
        <f>SUM(AR44:AU44)</f>
        <v>0</v>
      </c>
      <c r="AO44" s="65">
        <f>F41+E43+E44</f>
        <v>0</v>
      </c>
      <c r="AP44" s="47">
        <f>E41+F43+F44</f>
        <v>0</v>
      </c>
      <c r="AQ44" s="66">
        <f>AO44-AP44</f>
        <v>0</v>
      </c>
      <c r="AR44" s="47">
        <f>IF(ISBLANK(E44),0,IF(AU41=3,0,IF(AU41=1,1,3)))</f>
        <v>0</v>
      </c>
      <c r="AS44" s="47">
        <f>IF(ISBLANK(E43),0,IF(AU42=3,0,IF(AU42=1,1,3)))</f>
        <v>0</v>
      </c>
      <c r="AT44" s="47">
        <f>IF(ISBLANK(F41),0,IF(AU43=3,0,IF(AU43=1,1,3)))</f>
        <v>0</v>
      </c>
      <c r="AU44" s="47" t="s">
        <v>69</v>
      </c>
      <c r="AV44" s="65" t="b">
        <f>10*(AQ41-AQ44)+AO41-AO44&lt;0</f>
        <v>0</v>
      </c>
      <c r="AW44" s="47" t="b">
        <f>10*(AQ42-AQ44)+AO42-AO44&lt;0</f>
        <v>0</v>
      </c>
      <c r="AX44" s="47" t="b">
        <f>10*(AQ43-AQ44)+AO43-AO44&lt;0</f>
        <v>0</v>
      </c>
      <c r="AY44" s="66" t="s">
        <v>69</v>
      </c>
      <c r="AZ44" s="65" t="s">
        <v>69</v>
      </c>
      <c r="BA44" s="47">
        <f>10000*(AR44+AS44)+(E43-F43+E44-F44)*100+(E43+E44)</f>
        <v>0</v>
      </c>
      <c r="BB44" s="47">
        <f>10000*(AR44+AT44)+(E44-F44+F41-E41)*100+(E44+F41)</f>
        <v>0</v>
      </c>
      <c r="BC44" s="66">
        <f>10000*(AS44+AT44)+(E43-F43+F41-E41)*100+(E43+F41)</f>
        <v>0</v>
      </c>
      <c r="BD44" s="67">
        <f>-BG41</f>
        <v>0</v>
      </c>
      <c r="BE44" s="68">
        <f>-BG42</f>
        <v>0</v>
      </c>
      <c r="BF44" s="68">
        <f>-BG43</f>
        <v>0</v>
      </c>
      <c r="BG44" s="66" t="s">
        <v>69</v>
      </c>
      <c r="BH44" s="21"/>
      <c r="BI44" s="21"/>
      <c r="BJ44" s="21"/>
      <c r="BK44" s="21"/>
      <c r="BL44" s="21"/>
      <c r="BM44" s="21"/>
      <c r="BN44" s="21"/>
      <c r="BO44" s="21"/>
      <c r="BP44" s="21"/>
      <c r="BQ44" s="21"/>
      <c r="BR44" s="21"/>
      <c r="BS44" s="21"/>
      <c r="BT44" s="65"/>
      <c r="BU44" s="47"/>
      <c r="BV44" s="47"/>
      <c r="BW44" s="66" t="s">
        <v>69</v>
      </c>
      <c r="GI44" s="55"/>
      <c r="GJ44" s="56"/>
      <c r="GK44" s="57"/>
      <c r="GL44" s="56"/>
      <c r="GM44" s="58"/>
    </row>
    <row r="45" spans="2:195" ht="10.15" customHeight="1">
      <c r="B45" s="79"/>
      <c r="C45" s="79"/>
      <c r="D45" s="79"/>
      <c r="E45" s="79"/>
      <c r="F45" s="79"/>
      <c r="G45" s="79"/>
      <c r="H45" s="22"/>
      <c r="I45" s="69"/>
      <c r="J45" s="70"/>
      <c r="K45" s="71"/>
      <c r="L45" s="71"/>
      <c r="M45" s="71"/>
      <c r="N45" s="71"/>
      <c r="O45" s="22"/>
      <c r="P45" s="22"/>
      <c r="Q45" s="22"/>
      <c r="R45" s="22"/>
      <c r="S45" s="22"/>
      <c r="T45" s="22"/>
      <c r="U45" s="22"/>
      <c r="V45" s="22"/>
      <c r="W45" s="22"/>
      <c r="X45" s="22"/>
      <c r="GI45" s="60"/>
      <c r="GJ45" s="61"/>
      <c r="GK45" s="62"/>
      <c r="GL45" s="61"/>
      <c r="GM45" s="36"/>
    </row>
    <row r="46" spans="2:195" ht="10.15" customHeight="1">
      <c r="B46" s="79"/>
      <c r="C46" s="79"/>
      <c r="D46" s="79"/>
      <c r="E46" s="79"/>
      <c r="F46" s="79"/>
      <c r="G46" s="79"/>
      <c r="H46" s="22"/>
      <c r="I46" s="182" t="s">
        <v>104</v>
      </c>
      <c r="J46" s="183"/>
      <c r="K46" s="183"/>
      <c r="L46" s="183"/>
      <c r="M46" s="183"/>
      <c r="N46" s="183"/>
      <c r="O46" s="183"/>
      <c r="P46" s="183"/>
      <c r="Q46" s="183"/>
      <c r="R46" s="183"/>
      <c r="S46" s="183"/>
      <c r="T46" s="184"/>
      <c r="U46" s="180" t="str">
        <f>IF(100*FA39+FB39&gt;100*FA40+FB40,EZ39,IF(100*FA40+FB40&gt;100*FA39+FB39,EZ40,"-"))</f>
        <v>-</v>
      </c>
      <c r="V46" s="181"/>
      <c r="W46" s="181"/>
      <c r="X46" s="22"/>
    </row>
    <row r="47" spans="2:195" ht="10.15" customHeight="1">
      <c r="B47" s="79"/>
      <c r="C47" s="79"/>
      <c r="D47" s="79"/>
      <c r="E47" s="79"/>
      <c r="F47" s="79"/>
      <c r="G47" s="79"/>
      <c r="H47" s="22"/>
      <c r="I47" s="185"/>
      <c r="J47" s="186"/>
      <c r="K47" s="186"/>
      <c r="L47" s="186"/>
      <c r="M47" s="186"/>
      <c r="N47" s="186"/>
      <c r="O47" s="186"/>
      <c r="P47" s="186"/>
      <c r="Q47" s="186"/>
      <c r="R47" s="186"/>
      <c r="S47" s="186"/>
      <c r="T47" s="187"/>
      <c r="U47" s="180"/>
      <c r="V47" s="181"/>
      <c r="W47" s="181"/>
      <c r="X47" s="22"/>
      <c r="Y47" s="10"/>
      <c r="Z47" s="10"/>
      <c r="AA47" s="10"/>
      <c r="AB47" s="10"/>
      <c r="AC47" s="10"/>
      <c r="AD47" s="10"/>
    </row>
    <row r="48" spans="2:195" ht="10.15" customHeight="1">
      <c r="B48" s="79"/>
      <c r="C48" s="79"/>
      <c r="D48" s="79"/>
      <c r="E48" s="79"/>
      <c r="F48" s="79"/>
      <c r="G48" s="79"/>
      <c r="H48" s="22"/>
      <c r="I48" s="82"/>
      <c r="J48" s="82"/>
      <c r="K48" s="82"/>
      <c r="L48" s="82"/>
      <c r="M48" s="82"/>
      <c r="N48" s="8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85"/>
      <c r="Z48" s="85"/>
      <c r="AA48" s="85"/>
      <c r="AB48" s="85"/>
      <c r="AC48" s="85"/>
      <c r="AD48" s="10"/>
      <c r="AL48" s="27" t="s">
        <v>36</v>
      </c>
      <c r="AM48" s="28" t="s">
        <v>37</v>
      </c>
      <c r="AN48" s="29" t="s">
        <v>35</v>
      </c>
      <c r="AO48" s="27" t="s">
        <v>38</v>
      </c>
      <c r="AP48" s="29" t="s">
        <v>39</v>
      </c>
      <c r="AQ48" s="30" t="s">
        <v>40</v>
      </c>
      <c r="AR48" s="29" t="s">
        <v>41</v>
      </c>
      <c r="AS48" s="29" t="s">
        <v>42</v>
      </c>
      <c r="AT48" s="29" t="s">
        <v>43</v>
      </c>
      <c r="AU48" s="29" t="s">
        <v>44</v>
      </c>
      <c r="AV48" s="27" t="s">
        <v>45</v>
      </c>
      <c r="AW48" s="29" t="s">
        <v>46</v>
      </c>
      <c r="AX48" s="29" t="s">
        <v>47</v>
      </c>
      <c r="AY48" s="30" t="s">
        <v>48</v>
      </c>
      <c r="AZ48" s="27" t="s">
        <v>49</v>
      </c>
      <c r="BA48" s="29" t="s">
        <v>50</v>
      </c>
      <c r="BB48" s="29" t="s">
        <v>51</v>
      </c>
      <c r="BC48" s="30" t="s">
        <v>52</v>
      </c>
      <c r="BD48" s="27" t="s">
        <v>53</v>
      </c>
      <c r="BE48" s="29" t="s">
        <v>54</v>
      </c>
      <c r="BF48" s="29" t="s">
        <v>55</v>
      </c>
      <c r="BG48" s="30" t="s">
        <v>56</v>
      </c>
      <c r="BH48" s="27" t="s">
        <v>57</v>
      </c>
      <c r="BI48" s="29" t="s">
        <v>49</v>
      </c>
      <c r="BJ48" s="29" t="s">
        <v>50</v>
      </c>
      <c r="BK48" s="29" t="s">
        <v>51</v>
      </c>
      <c r="BL48" s="29" t="s">
        <v>52</v>
      </c>
      <c r="BM48" s="29" t="s">
        <v>58</v>
      </c>
      <c r="BN48" s="29" t="s">
        <v>59</v>
      </c>
      <c r="BO48" s="29" t="s">
        <v>60</v>
      </c>
      <c r="BP48" s="29" t="s">
        <v>61</v>
      </c>
      <c r="BQ48" s="29" t="s">
        <v>62</v>
      </c>
      <c r="BR48" s="29" t="s">
        <v>63</v>
      </c>
      <c r="BS48" s="30" t="s">
        <v>64</v>
      </c>
      <c r="BT48" s="27" t="s">
        <v>65</v>
      </c>
      <c r="BU48" s="29" t="s">
        <v>66</v>
      </c>
      <c r="BV48" s="29" t="s">
        <v>67</v>
      </c>
      <c r="BW48" s="30" t="s">
        <v>68</v>
      </c>
    </row>
    <row r="49" spans="2:189" ht="10.15" customHeight="1">
      <c r="B49" s="79"/>
      <c r="C49" s="79"/>
      <c r="D49" s="79"/>
      <c r="E49" s="79"/>
      <c r="F49" s="79"/>
      <c r="G49" s="79"/>
      <c r="H49" s="22"/>
      <c r="I49" s="82"/>
      <c r="J49" s="82"/>
      <c r="K49" s="82"/>
      <c r="L49" s="82"/>
      <c r="M49" s="82"/>
      <c r="N49" s="82"/>
      <c r="O49" s="22"/>
      <c r="P49" s="22"/>
      <c r="Q49" s="22"/>
      <c r="R49" s="22"/>
      <c r="S49" s="167"/>
      <c r="T49" s="167"/>
      <c r="U49" s="167"/>
      <c r="V49" s="167"/>
      <c r="W49" s="167"/>
      <c r="X49" s="168"/>
      <c r="Y49" s="85"/>
      <c r="Z49" s="85"/>
      <c r="AA49" s="85"/>
      <c r="AB49" s="85"/>
      <c r="AC49" s="85"/>
      <c r="AD49" s="10"/>
      <c r="AI49" s="37">
        <v>1</v>
      </c>
      <c r="AJ49" s="38">
        <f>ROUND(AK49,0)</f>
        <v>2</v>
      </c>
      <c r="AK49" s="39">
        <f>MIN(AL49:AL52)</f>
        <v>2.4500000000000002</v>
      </c>
      <c r="AL49" s="40">
        <f>SUM(BD49:BG49)+2.45</f>
        <v>2.4500000000000002</v>
      </c>
      <c r="AM49" s="41">
        <f>D48</f>
        <v>0</v>
      </c>
      <c r="AN49" s="42">
        <f>SUM(AR49:AU49)</f>
        <v>0</v>
      </c>
      <c r="AO49" s="43">
        <f>E48+E50+F52</f>
        <v>0</v>
      </c>
      <c r="AP49" s="42">
        <f>F48+F50+E52</f>
        <v>0</v>
      </c>
      <c r="AQ49" s="44">
        <f>AO49-AP49</f>
        <v>0</v>
      </c>
      <c r="AR49" s="42" t="s">
        <v>69</v>
      </c>
      <c r="AS49" s="42">
        <f>IF(ISBLANK(E48),0,IF(E48&gt;F48,3,IF(E48=F48,1,0)))</f>
        <v>0</v>
      </c>
      <c r="AT49" s="42">
        <f>IF(ISBLANK(E50),0,IF(E50&gt;F50,3,IF(E50=F50,1,0)))</f>
        <v>0</v>
      </c>
      <c r="AU49" s="42">
        <f>IF(ISBLANK(F52),0,IF(F52&gt;E52,3,IF(F52=E52,1,0)))</f>
        <v>0</v>
      </c>
      <c r="AV49" s="43" t="s">
        <v>69</v>
      </c>
      <c r="AW49" s="42" t="b">
        <f>(10*(AQ49-AQ50)+AO49-AO50&gt;0)</f>
        <v>0</v>
      </c>
      <c r="AX49" s="42" t="b">
        <f>10*(AQ49-AQ51)+AO49-AO51&gt;0</f>
        <v>0</v>
      </c>
      <c r="AY49" s="44" t="b">
        <f>10*(AQ49-AQ52)+AO49-AO52&gt;0</f>
        <v>0</v>
      </c>
      <c r="AZ49" s="43">
        <f>10000*(AS49+AT49)+(E50-F50+E48-F48)*100+(E50+E48)</f>
        <v>0</v>
      </c>
      <c r="BA49" s="42">
        <f>10000*(AS49+AU49)+(E48-F48+F52-E52)*100+(E48+F52)</f>
        <v>0</v>
      </c>
      <c r="BB49" s="42">
        <f>10000*(AT49+AU49)+(F52-E52+E50-F50)*100+(F52+E50)</f>
        <v>0</v>
      </c>
      <c r="BC49" s="44" t="s">
        <v>69</v>
      </c>
      <c r="BD49" s="43" t="s">
        <v>69</v>
      </c>
      <c r="BE49" s="45">
        <f>IF($AN49&gt;$AN50,-0.5,IF($AN50&gt;$AN49,0.5,IF(AW49,-0.5,IF(AV50,0.5,BU49))))</f>
        <v>0</v>
      </c>
      <c r="BF49" s="45">
        <f>IF($AN49&gt;$AN51,-0.5,IF($AN51&gt;$AN49,0.5,IF(AX49,-0.5,IF(AV51,0.5,BV49))))</f>
        <v>0</v>
      </c>
      <c r="BG49" s="46">
        <f>IF($AN49&gt;$AN52,-0.5,IF($AN52&gt;$AN49,0.5,IF(AY49,-0.5,IF(AV52,0.5,BW49))))</f>
        <v>0</v>
      </c>
      <c r="BH49" s="47" t="b">
        <f>AND(AND(AN49=AN50,AN50=AN51,AN51=AN52),AND(AO49=AO50,AO50=AO51,AO51=AO52),AND(AP49=AP50,AP50=AP51,AP51=AP52))</f>
        <v>1</v>
      </c>
      <c r="BI49" s="47" t="b">
        <f>AND(NOT(BH49),AN49=AN50,AN49=AN51,AO49=AO50,AO49=AO51,AP49=AP50,AP49=AP51)</f>
        <v>0</v>
      </c>
      <c r="BJ49" s="47" t="b">
        <f>AND(NOT(BH49),AN49=AN50,AN49=AN52,AO49=AO50,AO49=AO52,AP49=AP50,AP49=AP52)</f>
        <v>0</v>
      </c>
      <c r="BK49" s="47" t="b">
        <f>AND(NOT(BH49),AN49=AN51,AN49=AN52,AO49=AO51,AO49=AO52,AP49=AP51,AP49=AP52)</f>
        <v>0</v>
      </c>
      <c r="BL49" s="47" t="b">
        <f>AND(NOT(BH49),AN50=AN51,AN50=AN52,AO50=AO51,AO50=AO52,AP50=AP51,AP50=AP52)</f>
        <v>0</v>
      </c>
      <c r="BM49" s="47" t="b">
        <f>AND(NOT(BH49),NOT(BI49),NOT(BJ49),AN49=AN50,AO49=AO50,AP49=AP50)</f>
        <v>0</v>
      </c>
      <c r="BN49" s="47" t="b">
        <f>AND(NOT(BH49),NOT(BI49),NOT(BK49),AN49=AN51,AO49=AO51,AP49=AP51)</f>
        <v>0</v>
      </c>
      <c r="BO49" s="47" t="b">
        <f>AND(NOT(BH49),NOT(BJ49),NOT(BK49),AN49=AN52,AO49=AO52,AP49=AP52)</f>
        <v>0</v>
      </c>
      <c r="BP49" s="47" t="b">
        <f>AND(NOT(BH49),NOT(BI49),NOT(BL49),AN50=AN51,AO50=AO51)</f>
        <v>0</v>
      </c>
      <c r="BQ49" s="47" t="b">
        <f>AND(NOT(BH49),NOT(BJ49),NOT(BL49),AN50=AN52,AO50=AO52,AP50=AP52)</f>
        <v>0</v>
      </c>
      <c r="BR49" s="47" t="b">
        <f>AND(NOT(BH49),NOT(BK49),NOT(BL49),AN51=AN52,AO51=AO52,AP51=AP52)</f>
        <v>0</v>
      </c>
      <c r="BS49" s="47" t="b">
        <f t="array" ref="BS49">AND(NOT(BH49:BR49))</f>
        <v>0</v>
      </c>
      <c r="BT49" s="43" t="s">
        <v>69</v>
      </c>
      <c r="BU49" s="42">
        <f>IF($BM49,IF(F48-E48&lt;0,-0.5,IF(E48-F48&lt;0,0.5,0)),IF($BI49,IF($AZ49&gt;$AZ50,-0.5,IF($AZ49&lt;$AZ50,0.5,0)),IF($BJ49,IF($BA49&gt;$BA50,-0.5, IF($BA49&lt;$BA50,0.5,0)),0)))</f>
        <v>0</v>
      </c>
      <c r="BV49" s="42">
        <f>IF($BN49,IF(F50-E50&lt;0,-0.5,IF(E50-F50&lt;0,0.5,0)),IF($BI49,IF($AZ49&gt;$AZ51,-0.5,IF($AZ49&lt;$AZ51,0.5,0)),IF($BK49,IF($BB49&gt;$BB51,-0.5,IF($BB49&lt;$BB51,0.5,0)),0)))</f>
        <v>0</v>
      </c>
      <c r="BW49" s="44">
        <f>IF($BO49,IF(E52-F52&lt;0,-0.5,IF(F52-E52&lt;0,0.5,0)),IF($BJ49,IF($BA49&gt;$BA52,-0.5,IF($BA49&lt;$BA52,0.5,0)),IF($BK49,IF($BB49&gt;$BB52,-0.5, IF($BB49&lt;$BB52,0.5,0)),0)))</f>
        <v>0</v>
      </c>
      <c r="FZ49" s="55"/>
      <c r="GA49" s="56"/>
      <c r="GB49" s="57"/>
      <c r="GC49" s="56"/>
      <c r="GD49" s="58"/>
      <c r="GG49" s="86"/>
    </row>
    <row r="50" spans="2:189" ht="10.15" customHeight="1">
      <c r="B50" s="79"/>
      <c r="C50" s="79"/>
      <c r="D50" s="79"/>
      <c r="E50" s="79"/>
      <c r="F50" s="79"/>
      <c r="G50" s="79"/>
      <c r="H50" s="22"/>
      <c r="I50" s="82"/>
      <c r="J50" s="82"/>
      <c r="K50" s="82"/>
      <c r="L50" s="82"/>
      <c r="M50" s="82"/>
      <c r="N50" s="82"/>
      <c r="O50" s="22"/>
      <c r="P50" s="22"/>
      <c r="Q50" s="22"/>
      <c r="R50" s="22"/>
      <c r="S50" s="154"/>
      <c r="T50" s="154"/>
      <c r="U50" s="154"/>
      <c r="V50" s="154"/>
      <c r="W50" s="154"/>
      <c r="X50" s="155"/>
      <c r="Y50" s="87"/>
      <c r="Z50" s="88"/>
      <c r="AA50" s="76"/>
      <c r="AB50" s="76"/>
      <c r="AC50" s="76"/>
      <c r="AD50" s="10"/>
      <c r="AI50" s="37">
        <f>IF(ROUND(AK50,0)=ROUND(AK49,0),AI49,2)</f>
        <v>1</v>
      </c>
      <c r="AJ50" s="38">
        <f>ROUND(AK50,0)</f>
        <v>2</v>
      </c>
      <c r="AK50" s="39">
        <f>MAX(MIN(AL49:AL51),MIN(AL49,AL50,AL52),MIN(AL49,AL51,AL52),MIN(AL50:AL52))</f>
        <v>2.46</v>
      </c>
      <c r="AL50" s="53">
        <f>SUM(BD50:BG50)+2.46</f>
        <v>2.46</v>
      </c>
      <c r="AM50" s="41">
        <f>G48</f>
        <v>0</v>
      </c>
      <c r="AN50" s="42">
        <f>SUM(AR50:AU50)</f>
        <v>0</v>
      </c>
      <c r="AO50" s="43">
        <f>F48+F51+E53</f>
        <v>0</v>
      </c>
      <c r="AP50" s="42">
        <f>E48+E51+F53</f>
        <v>0</v>
      </c>
      <c r="AQ50" s="44">
        <f>AO50-AP50</f>
        <v>0</v>
      </c>
      <c r="AR50" s="42">
        <f>IF(ISBLANK(F48),0,IF(AS49=3,0,IF(AS49=1,1,3)))</f>
        <v>0</v>
      </c>
      <c r="AS50" s="42" t="s">
        <v>69</v>
      </c>
      <c r="AT50" s="42">
        <f>IF(ISBLANK(E53),0,IF(AS51=3,0,IF(AS51=1,1,3)))</f>
        <v>0</v>
      </c>
      <c r="AU50" s="42">
        <f>IF(ISBLANK(F51),0,IF(F51&gt;E51,3,IF(F51=E51,1,0)))</f>
        <v>0</v>
      </c>
      <c r="AV50" s="43" t="b">
        <f>(10*(AQ49-AQ50)+AO49-AO50&lt;0)</f>
        <v>0</v>
      </c>
      <c r="AW50" s="42" t="s">
        <v>69</v>
      </c>
      <c r="AX50" s="42" t="b">
        <f>10*(AQ50-AQ51)+AO50-AO51&gt;0</f>
        <v>0</v>
      </c>
      <c r="AY50" s="44" t="b">
        <f>10*(AQ50-AQ52)+AO50-AO52&gt;0</f>
        <v>0</v>
      </c>
      <c r="AZ50" s="43">
        <f>10000*(AR50+AT50)+(F48-E48+E53-F53)*100+(F48+E53)</f>
        <v>0</v>
      </c>
      <c r="BA50" s="42">
        <f>10000*(AR50+AU50)+(F48-E48+F51-E51)*100+(F48+F51)</f>
        <v>0</v>
      </c>
      <c r="BB50" s="42" t="s">
        <v>69</v>
      </c>
      <c r="BC50" s="44">
        <f>10000*(AT50+AU50)+(F51-E51+E53-F53)*100+(F51+E53)</f>
        <v>0</v>
      </c>
      <c r="BD50" s="54">
        <f>-BE49</f>
        <v>0</v>
      </c>
      <c r="BE50" s="42" t="s">
        <v>69</v>
      </c>
      <c r="BF50" s="45">
        <f>IF($AN50&gt;$AN51,-0.5,IF($AN51&gt;$AN50,0.5,IF(AX50,-0.5,IF(AW51,0.5,BV50))))</f>
        <v>0</v>
      </c>
      <c r="BG50" s="46">
        <f>IF($AN50&gt;$AN52,-0.5,IF($AN52&gt;$AN50,0.5,IF(AY50,-0.5,IF(AW52,0.5,BW50))))</f>
        <v>0</v>
      </c>
      <c r="BH50" s="21"/>
      <c r="BI50" s="21"/>
      <c r="BJ50" s="21"/>
      <c r="BK50" s="21"/>
      <c r="BL50" s="21"/>
      <c r="BM50" s="21"/>
      <c r="BN50" s="21"/>
      <c r="BO50" s="21"/>
      <c r="BP50" s="21"/>
      <c r="BQ50" s="21"/>
      <c r="BR50" s="21"/>
      <c r="BS50" s="21"/>
      <c r="BT50" s="43"/>
      <c r="BU50" s="42" t="s">
        <v>69</v>
      </c>
      <c r="BV50" s="42">
        <f>IF($BP49,IF(F53-E53&lt;0,-0.5,IF(E53-F53&lt;0,0.5,0)),IF($BI49,IF($AZ50&gt;$AZ51,-0.5,IF($AZ50&lt;$AZ51,0.5,0)),IF($BL49,IF($BC50&gt;$BC51,-0.5,IF($BC50&lt;$BC51,0.5,0)),0)))</f>
        <v>0</v>
      </c>
      <c r="BW50" s="44">
        <f>IF($BQ49,IF(E51-F51&lt;0,-0.5,IF(F51-E51&lt;0,0.5,0)),IF($BJ49,IF($BA50&gt;$BA52,-0.5,IF($BA50&lt;$BA52,0.5,0)),IF($BL49,IF($BC50&gt;$BC52,-0.5,IF($BC50&lt;$BC52,0.5,0)),0)))</f>
        <v>0</v>
      </c>
      <c r="FZ50" s="60"/>
      <c r="GA50" s="61"/>
      <c r="GB50" s="62"/>
      <c r="GC50" s="61"/>
      <c r="GD50" s="36"/>
      <c r="GG50" s="89"/>
    </row>
    <row r="51" spans="2:189" ht="10.15" customHeight="1">
      <c r="B51" s="79"/>
      <c r="C51" s="79"/>
      <c r="D51" s="79"/>
      <c r="E51" s="79"/>
      <c r="F51" s="79"/>
      <c r="G51" s="79"/>
      <c r="H51" s="22"/>
      <c r="I51" s="82"/>
      <c r="J51" s="82"/>
      <c r="K51" s="82"/>
      <c r="L51" s="82"/>
      <c r="M51" s="82"/>
      <c r="N51" s="8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87"/>
      <c r="Z51" s="88"/>
      <c r="AA51" s="76"/>
      <c r="AB51" s="76"/>
      <c r="AC51" s="76"/>
      <c r="AD51" s="10"/>
      <c r="AI51" s="37">
        <f>IF(ROUND(AK51,0)=ROUND(AK50,0),AI50,3)</f>
        <v>1</v>
      </c>
      <c r="AJ51" s="38">
        <f>ROUND(AK51,0)</f>
        <v>2</v>
      </c>
      <c r="AK51" s="39">
        <f>MIN(MAX(AL49:AL51),MAX(AL49,AL50,AL52),MAX(AL49,AL51,AL52),MAX(AL50:AL52))</f>
        <v>2.4700000000000002</v>
      </c>
      <c r="AL51" s="53">
        <f>SUM(BD51:BG51)+2.47</f>
        <v>2.4700000000000002</v>
      </c>
      <c r="AM51" s="41">
        <f>D49</f>
        <v>0</v>
      </c>
      <c r="AN51" s="42">
        <f>SUM(AR51:AU51)</f>
        <v>0</v>
      </c>
      <c r="AO51" s="43">
        <f>E49+F50+F53</f>
        <v>0</v>
      </c>
      <c r="AP51" s="42">
        <f>F49+E50+E53</f>
        <v>0</v>
      </c>
      <c r="AQ51" s="44">
        <f>AO51-AP51</f>
        <v>0</v>
      </c>
      <c r="AR51" s="42">
        <f>IF(ISBLANK(F50),0,IF(AT49=3,0,IF(AT49=1,1,3)))</f>
        <v>0</v>
      </c>
      <c r="AS51" s="42">
        <f>IF(ISBLANK(F53),0,IF(F53&gt;E53,3,IF(F53=E53,1,0)))</f>
        <v>0</v>
      </c>
      <c r="AT51" s="42" t="s">
        <v>69</v>
      </c>
      <c r="AU51" s="42">
        <f>IF(ISBLANK(E49),0,IF(E49&gt;F49,3,IF(E49=F49,1,0)))</f>
        <v>0</v>
      </c>
      <c r="AV51" s="43" t="b">
        <f>10*(AQ49-AQ51)+AO49-AO51&lt;0</f>
        <v>0</v>
      </c>
      <c r="AW51" s="42" t="b">
        <f>10*(AQ50-AQ51)+AO50-AO51&lt;0</f>
        <v>0</v>
      </c>
      <c r="AX51" s="42" t="s">
        <v>69</v>
      </c>
      <c r="AY51" s="44" t="b">
        <f>10*(AQ51-AQ52)+AO51-AO52&gt;0</f>
        <v>0</v>
      </c>
      <c r="AZ51" s="43">
        <f>10000*(AR51+AS51)+(F50-E50+F53-E53)*100+(F50+F53)</f>
        <v>0</v>
      </c>
      <c r="BA51" s="42" t="s">
        <v>69</v>
      </c>
      <c r="BB51" s="42">
        <f>10000*(AR51+AU51)+(E49-F49+F50-E50)*100+(E49+F50)</f>
        <v>0</v>
      </c>
      <c r="BC51" s="44">
        <f>10000*(AS51+AU51)+(E49-F49+F53-E53)*100+(E49+F53)</f>
        <v>0</v>
      </c>
      <c r="BD51" s="54">
        <f>-BF49</f>
        <v>0</v>
      </c>
      <c r="BE51" s="45">
        <f>-BF50</f>
        <v>0</v>
      </c>
      <c r="BF51" s="45" t="s">
        <v>69</v>
      </c>
      <c r="BG51" s="46">
        <f>IF($AN51&gt;$AN52,-0.5,IF($AN52&gt;$AN51,0.5,IF(AY51,-0.5,IF(AX52,0.5,BW51))))</f>
        <v>0</v>
      </c>
      <c r="BH51" s="21"/>
      <c r="BI51" s="21"/>
      <c r="BJ51" s="21"/>
      <c r="BK51" s="21"/>
      <c r="BL51" s="21"/>
      <c r="BM51" s="21"/>
      <c r="BN51" s="21"/>
      <c r="BO51" s="21"/>
      <c r="BP51" s="21"/>
      <c r="BQ51" s="21"/>
      <c r="BR51" s="21"/>
      <c r="BS51" s="21"/>
      <c r="BT51" s="43"/>
      <c r="BU51" s="42"/>
      <c r="BV51" s="42" t="s">
        <v>69</v>
      </c>
      <c r="BW51" s="44">
        <f>IF($BR49,IF(F49-E49&lt;0,-0.5,IF(E49-F49&lt;0,0.5,0)),IF($BK49,IF($BB51&gt;$BB52,-0.5,IF($BB51&lt;$BB52,0.5,0)),IF($BL49,IF($BC51&gt;$BC52,-0.5,IF($BC51&lt;$BC52,0.5,0)),0)))</f>
        <v>0</v>
      </c>
      <c r="GG51" s="86"/>
    </row>
    <row r="52" spans="2:189" ht="10.15" customHeight="1">
      <c r="B52" s="79"/>
      <c r="C52" s="79"/>
      <c r="D52" s="79"/>
      <c r="E52" s="79"/>
      <c r="F52" s="79"/>
      <c r="G52" s="79"/>
      <c r="H52" s="22"/>
      <c r="I52" s="82"/>
      <c r="J52" s="82"/>
      <c r="K52" s="82"/>
      <c r="L52" s="82"/>
      <c r="M52" s="82"/>
      <c r="N52" s="8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82"/>
      <c r="Z52" s="82"/>
      <c r="AA52" s="82"/>
      <c r="AB52" s="82"/>
      <c r="AC52" s="82"/>
      <c r="AD52" s="10"/>
      <c r="AI52" s="37">
        <f>IF(ROUND(AK52,0)=ROUND(AK51,0),AI51,4)</f>
        <v>1</v>
      </c>
      <c r="AJ52" s="38">
        <f>ROUND(AK52,0)</f>
        <v>2</v>
      </c>
      <c r="AK52" s="39">
        <f>MAX(AL49:AL52)</f>
        <v>2.48</v>
      </c>
      <c r="AL52" s="63">
        <f>SUM(BD52:BG52)+2.48</f>
        <v>2.48</v>
      </c>
      <c r="AM52" s="64">
        <f>G49</f>
        <v>0</v>
      </c>
      <c r="AN52" s="47">
        <f>SUM(AR52:AU52)</f>
        <v>0</v>
      </c>
      <c r="AO52" s="65">
        <f>F49+E51+E52</f>
        <v>0</v>
      </c>
      <c r="AP52" s="47">
        <f>E49+F51+F52</f>
        <v>0</v>
      </c>
      <c r="AQ52" s="66">
        <f>AO52-AP52</f>
        <v>0</v>
      </c>
      <c r="AR52" s="47">
        <f>IF(ISBLANK(E52),0,IF(AU49=3,0,IF(AU49=1,1,3)))</f>
        <v>0</v>
      </c>
      <c r="AS52" s="47">
        <f>IF(ISBLANK(E51),0,IF(AU50=3,0,IF(AU50=1,1,3)))</f>
        <v>0</v>
      </c>
      <c r="AT52" s="47">
        <f>IF(ISBLANK(F49),0,IF(AU51=3,0,IF(AU51=1,1,3)))</f>
        <v>0</v>
      </c>
      <c r="AU52" s="47" t="s">
        <v>69</v>
      </c>
      <c r="AV52" s="65" t="b">
        <f>10*(AQ49-AQ52)+AO49-AO52&lt;0</f>
        <v>0</v>
      </c>
      <c r="AW52" s="47" t="b">
        <f>10*(AQ50-AQ52)+AO50-AO52&lt;0</f>
        <v>0</v>
      </c>
      <c r="AX52" s="47" t="b">
        <f>10*(AQ51-AQ52)+AO51-AO52&lt;0</f>
        <v>0</v>
      </c>
      <c r="AY52" s="66" t="s">
        <v>69</v>
      </c>
      <c r="AZ52" s="65" t="s">
        <v>69</v>
      </c>
      <c r="BA52" s="47">
        <f>10000*(AR52+AS52)+(E51-F51+E52-F52)*100+(E51+E52)</f>
        <v>0</v>
      </c>
      <c r="BB52" s="47">
        <f>10000*(AR52+AT52)+(E52-F52+F49-E49)*100+(E52+F49)</f>
        <v>0</v>
      </c>
      <c r="BC52" s="66">
        <f>10000*(AS52+AT52)+(E51-F51+F49-E49)*100+(E51+F49)</f>
        <v>0</v>
      </c>
      <c r="BD52" s="67">
        <f>-BG49</f>
        <v>0</v>
      </c>
      <c r="BE52" s="68">
        <f>-BG50</f>
        <v>0</v>
      </c>
      <c r="BF52" s="68">
        <f>-BG51</f>
        <v>0</v>
      </c>
      <c r="BG52" s="66" t="s">
        <v>69</v>
      </c>
      <c r="BH52" s="21"/>
      <c r="BI52" s="21"/>
      <c r="BJ52" s="21"/>
      <c r="BK52" s="21"/>
      <c r="BL52" s="21"/>
      <c r="BM52" s="21"/>
      <c r="BN52" s="21"/>
      <c r="BO52" s="21"/>
      <c r="BP52" s="21"/>
      <c r="BQ52" s="21"/>
      <c r="BR52" s="21"/>
      <c r="BS52" s="21"/>
      <c r="BT52" s="65"/>
      <c r="BU52" s="47"/>
      <c r="BV52" s="47"/>
      <c r="BW52" s="66" t="s">
        <v>69</v>
      </c>
      <c r="GG52" s="89"/>
    </row>
    <row r="53" spans="2:189" ht="10.15" customHeight="1">
      <c r="B53" s="79"/>
      <c r="C53" s="79"/>
      <c r="D53" s="79"/>
      <c r="E53" s="79"/>
      <c r="F53" s="79"/>
      <c r="G53" s="79"/>
      <c r="H53" s="22"/>
      <c r="I53" s="69"/>
      <c r="J53" s="70"/>
      <c r="K53" s="71"/>
      <c r="L53" s="71"/>
      <c r="M53" s="71"/>
      <c r="N53" s="71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85"/>
      <c r="Z53" s="85"/>
      <c r="AA53" s="10"/>
      <c r="AB53" s="82"/>
      <c r="AC53" s="82"/>
      <c r="AD53" s="10"/>
      <c r="GG53" s="86"/>
    </row>
    <row r="54" spans="2:189" ht="10.15" customHeight="1">
      <c r="B54" s="79"/>
      <c r="C54" s="79"/>
      <c r="D54" s="79"/>
      <c r="E54" s="79"/>
      <c r="F54" s="79"/>
      <c r="G54" s="79"/>
      <c r="H54" s="22"/>
      <c r="I54" s="73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85"/>
      <c r="Z54" s="85"/>
      <c r="AA54" s="10"/>
      <c r="AB54" s="82"/>
      <c r="AC54" s="82"/>
      <c r="AD54" s="10"/>
      <c r="GG54" s="89"/>
    </row>
    <row r="55" spans="2:189" ht="10.15" customHeight="1">
      <c r="B55" s="79"/>
      <c r="C55" s="79"/>
      <c r="D55" s="79"/>
      <c r="E55" s="79"/>
      <c r="F55" s="79"/>
      <c r="G55" s="79"/>
      <c r="H55" s="22"/>
      <c r="I55" s="73"/>
      <c r="J55" s="22"/>
      <c r="K55" s="22"/>
      <c r="L55" s="22"/>
      <c r="M55" s="22"/>
      <c r="N55" s="22"/>
      <c r="O55" s="22"/>
      <c r="P55" s="22"/>
      <c r="Q55" s="22"/>
      <c r="R55" s="22"/>
      <c r="S55" s="90"/>
      <c r="T55" s="22"/>
      <c r="U55" s="22"/>
      <c r="V55" s="22"/>
      <c r="W55" s="22"/>
      <c r="X55" s="22"/>
      <c r="Y55" s="85"/>
      <c r="Z55" s="85"/>
      <c r="AA55" s="10"/>
      <c r="AB55" s="82"/>
      <c r="AC55" s="82"/>
      <c r="AD55" s="10"/>
    </row>
    <row r="56" spans="2:189" ht="10.15" customHeight="1">
      <c r="B56" s="79"/>
      <c r="C56" s="79"/>
      <c r="D56" s="79"/>
      <c r="E56" s="79"/>
      <c r="F56" s="79"/>
      <c r="G56" s="79"/>
      <c r="H56" s="22"/>
      <c r="I56" s="73"/>
      <c r="J56" s="79"/>
      <c r="K56" s="79"/>
      <c r="L56" s="79"/>
      <c r="M56" s="79"/>
      <c r="N56" s="79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85"/>
      <c r="Z56" s="85"/>
      <c r="AA56" s="10"/>
      <c r="AB56" s="82"/>
      <c r="AC56" s="82"/>
      <c r="AD56" s="91"/>
      <c r="AE56" s="92"/>
      <c r="AF56" s="15"/>
      <c r="AG56" s="15"/>
      <c r="AH56" s="15"/>
      <c r="AI56" s="15"/>
      <c r="AJ56" s="15"/>
      <c r="AL56" s="27" t="s">
        <v>36</v>
      </c>
      <c r="AM56" s="28" t="s">
        <v>37</v>
      </c>
      <c r="AN56" s="29" t="s">
        <v>35</v>
      </c>
      <c r="AO56" s="27" t="s">
        <v>38</v>
      </c>
      <c r="AP56" s="29" t="s">
        <v>39</v>
      </c>
      <c r="AQ56" s="30" t="s">
        <v>40</v>
      </c>
      <c r="AR56" s="29" t="s">
        <v>41</v>
      </c>
      <c r="AS56" s="29" t="s">
        <v>42</v>
      </c>
      <c r="AT56" s="29" t="s">
        <v>43</v>
      </c>
      <c r="AU56" s="29" t="s">
        <v>44</v>
      </c>
      <c r="AV56" s="27" t="s">
        <v>45</v>
      </c>
      <c r="AW56" s="29" t="s">
        <v>46</v>
      </c>
      <c r="AX56" s="29" t="s">
        <v>47</v>
      </c>
      <c r="AY56" s="30" t="s">
        <v>48</v>
      </c>
      <c r="AZ56" s="27" t="s">
        <v>49</v>
      </c>
      <c r="BA56" s="29" t="s">
        <v>50</v>
      </c>
      <c r="BB56" s="29" t="s">
        <v>51</v>
      </c>
      <c r="BC56" s="30" t="s">
        <v>52</v>
      </c>
      <c r="BD56" s="27" t="s">
        <v>53</v>
      </c>
      <c r="BE56" s="29" t="s">
        <v>54</v>
      </c>
      <c r="BF56" s="29" t="s">
        <v>55</v>
      </c>
      <c r="BG56" s="30" t="s">
        <v>56</v>
      </c>
      <c r="BH56" s="27" t="s">
        <v>57</v>
      </c>
      <c r="BI56" s="29" t="s">
        <v>49</v>
      </c>
      <c r="BJ56" s="29" t="s">
        <v>50</v>
      </c>
      <c r="BK56" s="29" t="s">
        <v>51</v>
      </c>
      <c r="BL56" s="29" t="s">
        <v>52</v>
      </c>
      <c r="BM56" s="29" t="s">
        <v>58</v>
      </c>
      <c r="BN56" s="29" t="s">
        <v>59</v>
      </c>
      <c r="BO56" s="29" t="s">
        <v>60</v>
      </c>
      <c r="BP56" s="29" t="s">
        <v>61</v>
      </c>
      <c r="BQ56" s="29" t="s">
        <v>62</v>
      </c>
      <c r="BR56" s="29" t="s">
        <v>63</v>
      </c>
      <c r="BS56" s="30" t="s">
        <v>64</v>
      </c>
      <c r="BT56" s="27" t="s">
        <v>65</v>
      </c>
      <c r="BU56" s="29" t="s">
        <v>66</v>
      </c>
      <c r="BV56" s="29" t="s">
        <v>67</v>
      </c>
      <c r="BW56" s="30" t="s">
        <v>68</v>
      </c>
    </row>
    <row r="57" spans="2:189" ht="10.15" customHeight="1">
      <c r="B57" s="79"/>
      <c r="C57" s="79"/>
      <c r="D57" s="79"/>
      <c r="E57" s="79"/>
      <c r="F57" s="79"/>
      <c r="G57" s="79"/>
      <c r="H57" s="22"/>
      <c r="T57" s="93"/>
      <c r="U57" s="22"/>
      <c r="V57" s="22"/>
      <c r="W57" s="22"/>
      <c r="X57" s="22"/>
      <c r="Y57" s="85"/>
      <c r="Z57" s="85"/>
      <c r="AA57" s="10"/>
      <c r="AB57" s="82"/>
      <c r="AC57" s="82"/>
      <c r="AD57" s="91"/>
      <c r="AE57" s="92"/>
      <c r="AF57" s="15"/>
      <c r="AG57" s="15"/>
      <c r="AH57" s="15"/>
      <c r="AI57" s="37">
        <v>1</v>
      </c>
      <c r="AJ57" s="38">
        <f>ROUND(AK57,0)</f>
        <v>2</v>
      </c>
      <c r="AK57" s="39">
        <f>MIN(AL57:AL60)</f>
        <v>2.4500000000000002</v>
      </c>
      <c r="AL57" s="40">
        <f>SUM(BD57:BG57)+2.45</f>
        <v>2.4500000000000002</v>
      </c>
      <c r="AM57" s="41">
        <f>D56</f>
        <v>0</v>
      </c>
      <c r="AN57" s="42">
        <f>SUM(AR57:AU57)</f>
        <v>0</v>
      </c>
      <c r="AO57" s="43">
        <f>E56+E58+F60</f>
        <v>0</v>
      </c>
      <c r="AP57" s="42">
        <f>F56+F58+E60</f>
        <v>0</v>
      </c>
      <c r="AQ57" s="44">
        <f>AO57-AP57</f>
        <v>0</v>
      </c>
      <c r="AR57" s="42" t="s">
        <v>69</v>
      </c>
      <c r="AS57" s="42">
        <f>IF(ISBLANK(E56),0,IF(E56&gt;F56,3,IF(E56=F56,1,0)))</f>
        <v>0</v>
      </c>
      <c r="AT57" s="42">
        <f>IF(ISBLANK(E58),0,IF(E58&gt;F58,3,IF(E58=F58,1,0)))</f>
        <v>0</v>
      </c>
      <c r="AU57" s="42">
        <f>IF(ISBLANK(F60),0,IF(F60&gt;E60,3,IF(F60=E60,1,0)))</f>
        <v>0</v>
      </c>
      <c r="AV57" s="43" t="s">
        <v>69</v>
      </c>
      <c r="AW57" s="42" t="b">
        <f>(10*(AQ57-AQ58)+AO57-AO58&gt;0)</f>
        <v>0</v>
      </c>
      <c r="AX57" s="42" t="b">
        <f>10*(AQ57-AQ59)+AO57-AO59&gt;0</f>
        <v>0</v>
      </c>
      <c r="AY57" s="44" t="b">
        <f>10*(AQ57-AQ60)+AO57-AO60&gt;0</f>
        <v>0</v>
      </c>
      <c r="AZ57" s="43">
        <f>10000*(AS57+AT57)+(E58-F58+E56-F56)*100+(E58+E56)</f>
        <v>0</v>
      </c>
      <c r="BA57" s="42">
        <f>10000*(AS57+AU57)+(E56-F56+F60-E60)*100+(E56+F60)</f>
        <v>0</v>
      </c>
      <c r="BB57" s="42">
        <f>10000*(AT57+AU57)+(F60-E60+E58-F58)*100+(F60+E58)</f>
        <v>0</v>
      </c>
      <c r="BC57" s="44" t="s">
        <v>69</v>
      </c>
      <c r="BD57" s="43" t="s">
        <v>69</v>
      </c>
      <c r="BE57" s="45">
        <f>IF($AN57&gt;$AN58,-0.5,IF($AN58&gt;$AN57,0.5,IF(AW57,-0.5,IF(AV58,0.5,BU57))))</f>
        <v>0</v>
      </c>
      <c r="BF57" s="45">
        <f>IF($AN57&gt;$AN59,-0.5,IF($AN59&gt;$AN57,0.5,IF(AX57,-0.5,IF(AV59,0.5,BV57))))</f>
        <v>0</v>
      </c>
      <c r="BG57" s="46">
        <f>IF($AN57&gt;$AN60,-0.5,IF($AN60&gt;$AN57,0.5,IF(AY57,-0.5,IF(AV60,0.5,BW57))))</f>
        <v>0</v>
      </c>
      <c r="BH57" s="47" t="b">
        <f>AND(AND(AN57=AN58,AN58=AN59,AN59=AN60),AND(AO57=AO58,AO58=AO59,AO59=AO60),AND(AP57=AP58,AP58=AP59,AP59=AP60))</f>
        <v>1</v>
      </c>
      <c r="BI57" s="47" t="b">
        <f>AND(NOT(BH57),AN57=AN58,AN57=AN59,AO57=AO58,AO57=AO59,AP57=AP58,AP57=AP59)</f>
        <v>0</v>
      </c>
      <c r="BJ57" s="47" t="b">
        <f>AND(NOT(BH57),AN57=AN58,AN57=AN60,AO57=AO58,AO57=AO60,AP57=AP58,AP57=AP60)</f>
        <v>0</v>
      </c>
      <c r="BK57" s="47" t="b">
        <f>AND(NOT(BH57),AN57=AN59,AN57=AN60,AO57=AO59,AO57=AO60,AP57=AP59,AP57=AP60)</f>
        <v>0</v>
      </c>
      <c r="BL57" s="47" t="b">
        <f>AND(NOT(BH57),AN58=AN59,AN58=AN60,AO58=AO59,AO58=AO60,AP58=AP59,AP58=AP60)</f>
        <v>0</v>
      </c>
      <c r="BM57" s="47" t="b">
        <f>AND(NOT(BH57),NOT(BI57),NOT(BJ57),AN57=AN58,AO57=AO58,AP57=AP58)</f>
        <v>0</v>
      </c>
      <c r="BN57" s="47" t="b">
        <f>AND(NOT(BH57),NOT(BI57),NOT(BK57),AN57=AN59,AO57=AO59,AP57=AP59)</f>
        <v>0</v>
      </c>
      <c r="BO57" s="47" t="b">
        <f>AND(NOT(BH57),NOT(BJ57),NOT(BK57),AN57=AN60,AO57=AO60,AP57=AP60)</f>
        <v>0</v>
      </c>
      <c r="BP57" s="47" t="b">
        <f>AND(NOT(BH57),NOT(BI57),NOT(BL57),AN58=AN59,AO58=AO59)</f>
        <v>0</v>
      </c>
      <c r="BQ57" s="47" t="b">
        <f>AND(NOT(BH57),NOT(BJ57),NOT(BL57),AN58=AN60,AO58=AO60,AP58=AP60)</f>
        <v>0</v>
      </c>
      <c r="BR57" s="47" t="b">
        <f>AND(NOT(BH57),NOT(BK57),NOT(BL57),AN59=AN60,AO59=AO60,AP59=AP60)</f>
        <v>0</v>
      </c>
      <c r="BS57" s="47" t="b">
        <f t="array" ref="BS57">AND(NOT(BH57:BR57))</f>
        <v>0</v>
      </c>
      <c r="BT57" s="43" t="s">
        <v>69</v>
      </c>
      <c r="BU57" s="42">
        <f>IF($BM57,IF(F56-E56&lt;0,-0.5,IF(E56-F56&lt;0,0.5,0)),IF($BI57,IF($AZ57&gt;$AZ58,-0.5,IF($AZ57&lt;$AZ58,0.5,0)),IF($BJ57,IF($BA57&gt;$BA58,-0.5, IF($BA57&lt;$BA58,0.5,0)),0)))</f>
        <v>0</v>
      </c>
      <c r="BV57" s="42">
        <f>IF($BN57,IF(F58-E58&lt;0,-0.5,IF(E58-F58&lt;0,0.5,0)),IF($BI57,IF($AZ57&gt;$AZ59,-0.5,IF($AZ57&lt;$AZ59,0.5,0)),IF($BK57,IF($BB57&gt;$BB59,-0.5,IF($BB57&lt;$BB59,0.5,0)),0)))</f>
        <v>0</v>
      </c>
      <c r="BW57" s="44">
        <f>IF($BO57,IF(E60-F60&lt;0,-0.5,IF(F60-E60&lt;0,0.5,0)),IF($BJ57,IF($BA57&gt;$BA60,-0.5,IF($BA57&lt;$BA60,0.5,0)),IF($BK57,IF($BB57&gt;$BB60,-0.5, IF($BB57&lt;$BB60,0.5,0)),0)))</f>
        <v>0</v>
      </c>
    </row>
    <row r="58" spans="2:189" ht="10.15" customHeight="1">
      <c r="B58" s="79"/>
      <c r="C58" s="79"/>
      <c r="D58" s="79"/>
      <c r="E58" s="79"/>
      <c r="F58" s="79"/>
      <c r="G58" s="79"/>
      <c r="H58" s="22"/>
      <c r="T58" s="22"/>
      <c r="U58" s="22"/>
      <c r="V58" s="22"/>
      <c r="W58" s="22"/>
      <c r="X58" s="22"/>
      <c r="Y58" s="85"/>
      <c r="Z58" s="85"/>
      <c r="AA58" s="10"/>
      <c r="AB58" s="82"/>
      <c r="AC58" s="82"/>
      <c r="AD58" s="94"/>
      <c r="AE58" s="95"/>
      <c r="AF58" s="96"/>
      <c r="AG58" s="96"/>
      <c r="AH58" s="96"/>
      <c r="AI58" s="37">
        <f>IF(ROUND(AK58,0)=ROUND(AK57,0),AI57,2)</f>
        <v>1</v>
      </c>
      <c r="AJ58" s="38">
        <f>ROUND(AK58,0)</f>
        <v>2</v>
      </c>
      <c r="AK58" s="39">
        <f>MAX(MIN(AL57:AL59),MIN(AL57,AL58,AL60),MIN(AL57,AL59,AL60),MIN(AL58:AL60))</f>
        <v>2.46</v>
      </c>
      <c r="AL58" s="53">
        <f>SUM(BD58:BG58)+2.46</f>
        <v>2.46</v>
      </c>
      <c r="AM58" s="41">
        <f>G56</f>
        <v>0</v>
      </c>
      <c r="AN58" s="42">
        <f>SUM(AR58:AU58)</f>
        <v>0</v>
      </c>
      <c r="AO58" s="43">
        <f>F56+F59+E61</f>
        <v>0</v>
      </c>
      <c r="AP58" s="42">
        <f>E56+E59+F61</f>
        <v>0</v>
      </c>
      <c r="AQ58" s="44">
        <f>AO58-AP58</f>
        <v>0</v>
      </c>
      <c r="AR58" s="42">
        <f>IF(ISBLANK(F56),0,IF(AS57=3,0,IF(AS57=1,1,3)))</f>
        <v>0</v>
      </c>
      <c r="AS58" s="42" t="s">
        <v>69</v>
      </c>
      <c r="AT58" s="42">
        <f>IF(ISBLANK(E61),0,IF(AS59=3,0,IF(AS59=1,1,3)))</f>
        <v>0</v>
      </c>
      <c r="AU58" s="42">
        <f>IF(ISBLANK(F59),0,IF(F59&gt;E59,3,IF(F59=E59,1,0)))</f>
        <v>0</v>
      </c>
      <c r="AV58" s="43" t="b">
        <f>(10*(AQ57-AQ58)+AO57-AO58&lt;0)</f>
        <v>0</v>
      </c>
      <c r="AW58" s="42" t="s">
        <v>69</v>
      </c>
      <c r="AX58" s="42" t="b">
        <f>10*(AQ58-AQ59)+AO58-AO59&gt;0</f>
        <v>0</v>
      </c>
      <c r="AY58" s="44" t="b">
        <f>10*(AQ58-AQ60)+AO58-AO60&gt;0</f>
        <v>0</v>
      </c>
      <c r="AZ58" s="43">
        <f>10000*(AR58+AT58)+(F56-E56+E61-F61)*100+(F56+E61)</f>
        <v>0</v>
      </c>
      <c r="BA58" s="42">
        <f>10000*(AR58+AU58)+(F56-E56+F59-E59)*100+(F56+F59)</f>
        <v>0</v>
      </c>
      <c r="BB58" s="42" t="s">
        <v>69</v>
      </c>
      <c r="BC58" s="44">
        <f>10000*(AT58+AU58)+(F59-E59+E61-F61)*100+(F59+E61)</f>
        <v>0</v>
      </c>
      <c r="BD58" s="54">
        <f>-BE57</f>
        <v>0</v>
      </c>
      <c r="BE58" s="42" t="s">
        <v>69</v>
      </c>
      <c r="BF58" s="45">
        <f>IF($AN58&gt;$AN59,-0.5,IF($AN59&gt;$AN58,0.5,IF(AX58,-0.5,IF(AW59,0.5,BV58))))</f>
        <v>0</v>
      </c>
      <c r="BG58" s="46">
        <f>IF($AN58&gt;$AN60,-0.5,IF($AN60&gt;$AN58,0.5,IF(AY58,-0.5,IF(AW60,0.5,BW58))))</f>
        <v>0</v>
      </c>
      <c r="BH58" s="21"/>
      <c r="BI58" s="21"/>
      <c r="BJ58" s="21"/>
      <c r="BK58" s="21"/>
      <c r="BL58" s="21"/>
      <c r="BM58" s="21"/>
      <c r="BN58" s="21"/>
      <c r="BO58" s="21"/>
      <c r="BP58" s="21"/>
      <c r="BQ58" s="21"/>
      <c r="BR58" s="21"/>
      <c r="BS58" s="21"/>
      <c r="BT58" s="43"/>
      <c r="BU58" s="42" t="s">
        <v>69</v>
      </c>
      <c r="BV58" s="42">
        <f>IF($BP57,IF(F61-E61&lt;0,-0.5,IF(E61-F61&lt;0,0.5,0)),IF($BI57,IF($AZ58&gt;$AZ59,-0.5,IF($AZ58&lt;$AZ59,0.5,0)),IF($BL57,IF($BC58&gt;$BC59,-0.5,IF($BC58&lt;$BC59,0.5,0)),0)))</f>
        <v>0</v>
      </c>
      <c r="BW58" s="44">
        <f>IF($BQ57,IF(E59-F59&lt;0,-0.5,IF(F59-E59&lt;0,0.5,0)),IF($BJ57,IF($BA58&gt;$BA60,-0.5,IF($BA58&lt;$BA60,0.5,0)),IF($BL57,IF($BC58&gt;$BC60,-0.5,IF($BC58&lt;$BC60,0.5,0)),0)))</f>
        <v>0</v>
      </c>
    </row>
    <row r="59" spans="2:189" ht="10.15" customHeight="1">
      <c r="B59" s="79"/>
      <c r="C59" s="79"/>
      <c r="D59" s="79"/>
      <c r="E59" s="79"/>
      <c r="F59" s="79"/>
      <c r="G59" s="79"/>
      <c r="H59" s="22"/>
      <c r="T59" s="97"/>
      <c r="U59" s="97"/>
      <c r="V59" s="97"/>
      <c r="W59" s="97"/>
      <c r="X59" s="97"/>
      <c r="Y59" s="98"/>
      <c r="Z59" s="98"/>
      <c r="AA59" s="98"/>
      <c r="AB59" s="98"/>
      <c r="AC59" s="98"/>
      <c r="AD59" s="99"/>
      <c r="AE59" s="100"/>
      <c r="AF59" s="96"/>
      <c r="AG59" s="96"/>
      <c r="AH59" s="96"/>
      <c r="AI59" s="37">
        <f>IF(ROUND(AK59,0)=ROUND(AK58,0),AI58,3)</f>
        <v>1</v>
      </c>
      <c r="AJ59" s="38">
        <f>ROUND(AK59,0)</f>
        <v>2</v>
      </c>
      <c r="AK59" s="39">
        <f>MIN(MAX(AL57:AL59),MAX(AL57,AL58,AL60),MAX(AL57,AL59,AL60),MAX(AL58:AL60))</f>
        <v>2.4700000000000002</v>
      </c>
      <c r="AL59" s="53">
        <f>SUM(BD59:BG59)+2.47</f>
        <v>2.4700000000000002</v>
      </c>
      <c r="AM59" s="41">
        <f>D57</f>
        <v>0</v>
      </c>
      <c r="AN59" s="42">
        <f>SUM(AR59:AU59)</f>
        <v>0</v>
      </c>
      <c r="AO59" s="43">
        <f>E57+F58+F61</f>
        <v>0</v>
      </c>
      <c r="AP59" s="42">
        <f>F57+E58+E61</f>
        <v>0</v>
      </c>
      <c r="AQ59" s="44">
        <f>AO59-AP59</f>
        <v>0</v>
      </c>
      <c r="AR59" s="42">
        <f>IF(ISBLANK(F58),0,IF(AT57=3,0,IF(AT57=1,1,3)))</f>
        <v>0</v>
      </c>
      <c r="AS59" s="42">
        <f>IF(ISBLANK(F61),0,IF(F61&gt;E61,3,IF(F61=E61,1,0)))</f>
        <v>0</v>
      </c>
      <c r="AT59" s="42" t="s">
        <v>69</v>
      </c>
      <c r="AU59" s="42">
        <f>IF(ISBLANK(E57),0,IF(E57&gt;F57,3,IF(E57=F57,1,0)))</f>
        <v>0</v>
      </c>
      <c r="AV59" s="43" t="b">
        <f>10*(AQ57-AQ59)+AO57-AO59&lt;0</f>
        <v>0</v>
      </c>
      <c r="AW59" s="42" t="b">
        <f>10*(AQ58-AQ59)+AO58-AO59&lt;0</f>
        <v>0</v>
      </c>
      <c r="AX59" s="42" t="s">
        <v>69</v>
      </c>
      <c r="AY59" s="44" t="b">
        <f>10*(AQ59-AQ60)+AO59-AO60&gt;0</f>
        <v>0</v>
      </c>
      <c r="AZ59" s="43">
        <f>10000*(AR59+AS59)+(F58-E58+F61-E61)*100+(F58+F61)</f>
        <v>0</v>
      </c>
      <c r="BA59" s="42" t="s">
        <v>69</v>
      </c>
      <c r="BB59" s="42">
        <f>10000*(AR59+AU59)+(E57-F57+F58-E58)*100+(E57+F58)</f>
        <v>0</v>
      </c>
      <c r="BC59" s="44">
        <f>10000*(AS59+AU59)+(E57-F57+F61-E61)*100+(E57+F61)</f>
        <v>0</v>
      </c>
      <c r="BD59" s="54">
        <f>-BF57</f>
        <v>0</v>
      </c>
      <c r="BE59" s="45">
        <f>-BF58</f>
        <v>0</v>
      </c>
      <c r="BF59" s="45" t="s">
        <v>69</v>
      </c>
      <c r="BG59" s="46">
        <f>IF($AN59&gt;$AN60,-0.5,IF($AN60&gt;$AN59,0.5,IF(AY59,-0.5,IF(AX60,0.5,BW59))))</f>
        <v>0</v>
      </c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43"/>
      <c r="BU59" s="42"/>
      <c r="BV59" s="42" t="s">
        <v>69</v>
      </c>
      <c r="BW59" s="44">
        <f>IF($BR57,IF(F57-E57&lt;0,-0.5,IF(E57-F57&lt;0,0.5,0)),IF($BK57,IF($BB59&gt;$BB60,-0.5,IF($BB59&lt;$BB60,0.5,0)),IF($BL57,IF($BC59&gt;$BC60,-0.5,IF($BC59&lt;$BC60,0.5,0)),0)))</f>
        <v>0</v>
      </c>
    </row>
    <row r="60" spans="2:189" ht="10.15" customHeight="1">
      <c r="B60" s="79"/>
      <c r="C60" s="79"/>
      <c r="D60" s="79"/>
      <c r="E60" s="79"/>
      <c r="F60" s="79"/>
      <c r="G60" s="79"/>
      <c r="H60" s="22"/>
      <c r="T60" s="97"/>
      <c r="U60" s="97"/>
      <c r="V60" s="97"/>
      <c r="W60" s="97"/>
      <c r="X60" s="97"/>
      <c r="Y60" s="97"/>
      <c r="Z60" s="97"/>
      <c r="AA60" s="97"/>
      <c r="AB60" s="97"/>
      <c r="AC60" s="97"/>
      <c r="AD60" s="100"/>
      <c r="AE60" s="100"/>
      <c r="AF60" s="101"/>
      <c r="AI60" s="37">
        <f>IF(ROUND(AK60,0)=ROUND(AK59,0),AI59,4)</f>
        <v>1</v>
      </c>
      <c r="AJ60" s="38">
        <f>ROUND(AK60,0)</f>
        <v>2</v>
      </c>
      <c r="AK60" s="39">
        <f>MAX(AL57:AL60)</f>
        <v>2.48</v>
      </c>
      <c r="AL60" s="63">
        <f>SUM(BD60:BG60)+2.48</f>
        <v>2.48</v>
      </c>
      <c r="AM60" s="64">
        <f>G57</f>
        <v>0</v>
      </c>
      <c r="AN60" s="47">
        <f>SUM(AR60:AU60)</f>
        <v>0</v>
      </c>
      <c r="AO60" s="65">
        <f>F57+E59+E60</f>
        <v>0</v>
      </c>
      <c r="AP60" s="47">
        <f>E57+F59+F60</f>
        <v>0</v>
      </c>
      <c r="AQ60" s="66">
        <f>AO60-AP60</f>
        <v>0</v>
      </c>
      <c r="AR60" s="47">
        <f>IF(ISBLANK(E60),0,IF(AU57=3,0,IF(AU57=1,1,3)))</f>
        <v>0</v>
      </c>
      <c r="AS60" s="47">
        <f>IF(ISBLANK(E59),0,IF(AU58=3,0,IF(AU58=1,1,3)))</f>
        <v>0</v>
      </c>
      <c r="AT60" s="47">
        <f>IF(ISBLANK(F57),0,IF(AU59=3,0,IF(AU59=1,1,3)))</f>
        <v>0</v>
      </c>
      <c r="AU60" s="47" t="s">
        <v>69</v>
      </c>
      <c r="AV60" s="65" t="b">
        <f>10*(AQ57-AQ60)+AO57-AO60&lt;0</f>
        <v>0</v>
      </c>
      <c r="AW60" s="47" t="b">
        <f>10*(AQ58-AQ60)+AO58-AO60&lt;0</f>
        <v>0</v>
      </c>
      <c r="AX60" s="47" t="b">
        <f>10*(AQ59-AQ60)+AO59-AO60&lt;0</f>
        <v>0</v>
      </c>
      <c r="AY60" s="66" t="s">
        <v>69</v>
      </c>
      <c r="AZ60" s="65" t="s">
        <v>69</v>
      </c>
      <c r="BA60" s="47">
        <f>10000*(AR60+AS60)+(E59-F59+E60-F60)*100+(E59+E60)</f>
        <v>0</v>
      </c>
      <c r="BB60" s="47">
        <f>10000*(AR60+AT60)+(E60-F60+F57-E57)*100+(E60+F57)</f>
        <v>0</v>
      </c>
      <c r="BC60" s="66">
        <f>10000*(AS60+AT60)+(E59-F59+F57-E57)*100+(E59+F57)</f>
        <v>0</v>
      </c>
      <c r="BD60" s="67">
        <f>-BG57</f>
        <v>0</v>
      </c>
      <c r="BE60" s="68">
        <f>-BG58</f>
        <v>0</v>
      </c>
      <c r="BF60" s="68">
        <f>-BG59</f>
        <v>0</v>
      </c>
      <c r="BG60" s="66" t="s">
        <v>69</v>
      </c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65"/>
      <c r="BU60" s="47"/>
      <c r="BV60" s="47"/>
      <c r="BW60" s="66" t="s">
        <v>69</v>
      </c>
    </row>
    <row r="61" spans="2:189" ht="10.15" customHeight="1">
      <c r="B61" s="79"/>
      <c r="C61" s="79"/>
      <c r="D61" s="79"/>
      <c r="E61" s="79"/>
      <c r="F61" s="79"/>
      <c r="G61" s="79"/>
      <c r="H61" s="22"/>
      <c r="T61" s="102"/>
      <c r="U61" s="102"/>
      <c r="V61" s="102"/>
      <c r="W61" s="102"/>
      <c r="X61" s="102"/>
      <c r="Y61" s="102"/>
      <c r="Z61" s="102"/>
      <c r="AA61" s="102"/>
      <c r="AB61" s="102"/>
      <c r="AC61" s="102"/>
      <c r="AD61" s="101"/>
      <c r="AE61" s="101"/>
      <c r="AF61" s="101"/>
    </row>
    <row r="62" spans="2:189" ht="10.15" customHeight="1">
      <c r="B62" s="79"/>
      <c r="C62" s="79"/>
      <c r="D62" s="79"/>
      <c r="E62" s="79"/>
      <c r="F62" s="79"/>
      <c r="G62" s="79"/>
      <c r="H62" s="22"/>
      <c r="T62" s="22"/>
      <c r="U62" s="22"/>
      <c r="V62" s="22"/>
      <c r="W62" s="22"/>
      <c r="X62" s="22"/>
      <c r="Y62" s="22"/>
      <c r="Z62" s="22"/>
      <c r="AA62" s="22"/>
      <c r="AB62" s="22"/>
      <c r="AC62" s="22"/>
      <c r="AG62" s="95"/>
      <c r="AH62" s="95"/>
      <c r="AI62" s="95"/>
      <c r="AJ62" s="95"/>
      <c r="AK62" s="95"/>
      <c r="AL62" s="95"/>
      <c r="AM62" s="95"/>
      <c r="AN62" s="95"/>
      <c r="AO62" s="95"/>
      <c r="AP62" s="95"/>
      <c r="AQ62" s="95"/>
      <c r="AR62" s="95"/>
      <c r="AS62" s="95"/>
      <c r="AT62" s="95"/>
      <c r="AU62" s="95"/>
      <c r="AV62" s="95"/>
      <c r="AW62" s="95"/>
      <c r="AX62" s="95"/>
      <c r="AY62" s="95"/>
      <c r="AZ62" s="95"/>
      <c r="BA62" s="95"/>
      <c r="BB62" s="95"/>
      <c r="BC62" s="95"/>
      <c r="BD62" s="95"/>
      <c r="BE62" s="95"/>
      <c r="BF62" s="95"/>
      <c r="BG62" s="95"/>
      <c r="BH62" s="95"/>
      <c r="BI62" s="95"/>
      <c r="BJ62" s="95"/>
      <c r="BK62" s="95"/>
      <c r="BL62" s="95"/>
      <c r="BM62" s="95"/>
      <c r="BN62" s="95"/>
      <c r="BO62" s="95"/>
      <c r="BP62" s="95"/>
      <c r="BQ62" s="95"/>
      <c r="BR62" s="95"/>
      <c r="BS62" s="95"/>
      <c r="BT62" s="95"/>
      <c r="BU62" s="95"/>
      <c r="BV62" s="95"/>
      <c r="BW62" s="95"/>
      <c r="BX62" s="95"/>
    </row>
    <row r="63" spans="2:189" ht="10.15" customHeight="1">
      <c r="B63" s="79"/>
      <c r="C63" s="79"/>
      <c r="D63" s="79"/>
      <c r="E63" s="79"/>
      <c r="F63" s="79"/>
      <c r="G63" s="79"/>
      <c r="H63" s="22"/>
      <c r="T63" s="22"/>
      <c r="U63" s="22"/>
      <c r="V63" s="22"/>
      <c r="W63" s="22"/>
      <c r="X63" s="22"/>
      <c r="Y63" s="22"/>
      <c r="Z63" s="22"/>
      <c r="AA63" s="22"/>
      <c r="AB63" s="22"/>
      <c r="AC63" s="22"/>
      <c r="AG63" s="95"/>
      <c r="AH63" s="95"/>
      <c r="AI63" s="95"/>
      <c r="AJ63" s="95"/>
      <c r="AK63" s="95"/>
      <c r="AL63" s="95"/>
      <c r="AM63" s="95"/>
      <c r="AN63" s="95"/>
      <c r="AO63" s="95"/>
      <c r="AP63" s="95"/>
      <c r="AQ63" s="95"/>
      <c r="AR63" s="95"/>
      <c r="AS63" s="95"/>
      <c r="AT63" s="95"/>
      <c r="AU63" s="95"/>
      <c r="AV63" s="95"/>
      <c r="AW63" s="95"/>
      <c r="AX63" s="95"/>
      <c r="AY63" s="95"/>
      <c r="AZ63" s="95"/>
      <c r="BA63" s="95"/>
      <c r="BB63" s="95"/>
      <c r="BC63" s="95"/>
      <c r="BD63" s="95"/>
      <c r="BE63" s="95"/>
      <c r="BF63" s="95"/>
      <c r="BG63" s="95"/>
      <c r="BH63" s="95"/>
      <c r="BI63" s="95"/>
      <c r="BJ63" s="95"/>
      <c r="BK63" s="95"/>
      <c r="BL63" s="95"/>
      <c r="BM63" s="95"/>
      <c r="BN63" s="95"/>
      <c r="BO63" s="95"/>
      <c r="BP63" s="95"/>
      <c r="BQ63" s="95"/>
      <c r="BR63" s="95"/>
      <c r="BS63" s="95"/>
      <c r="BT63" s="95"/>
      <c r="BU63" s="95"/>
      <c r="BV63" s="95"/>
      <c r="BW63" s="95"/>
      <c r="BX63" s="95"/>
    </row>
    <row r="64" spans="2:189" ht="10.15" customHeight="1">
      <c r="B64" s="79"/>
      <c r="C64" s="79"/>
      <c r="D64" s="79"/>
      <c r="E64" s="79"/>
      <c r="F64" s="79"/>
      <c r="G64" s="79"/>
      <c r="H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L64" s="27" t="s">
        <v>36</v>
      </c>
      <c r="AM64" s="28" t="s">
        <v>37</v>
      </c>
      <c r="AN64" s="29" t="s">
        <v>35</v>
      </c>
      <c r="AO64" s="27" t="s">
        <v>38</v>
      </c>
      <c r="AP64" s="29" t="s">
        <v>39</v>
      </c>
      <c r="AQ64" s="30" t="s">
        <v>40</v>
      </c>
      <c r="AR64" s="29" t="s">
        <v>41</v>
      </c>
      <c r="AS64" s="29" t="s">
        <v>42</v>
      </c>
      <c r="AT64" s="29" t="s">
        <v>43</v>
      </c>
      <c r="AU64" s="29" t="s">
        <v>44</v>
      </c>
      <c r="AV64" s="27" t="s">
        <v>45</v>
      </c>
      <c r="AW64" s="29" t="s">
        <v>46</v>
      </c>
      <c r="AX64" s="29" t="s">
        <v>47</v>
      </c>
      <c r="AY64" s="30" t="s">
        <v>48</v>
      </c>
      <c r="AZ64" s="27" t="s">
        <v>49</v>
      </c>
      <c r="BA64" s="29" t="s">
        <v>50</v>
      </c>
      <c r="BB64" s="29" t="s">
        <v>51</v>
      </c>
      <c r="BC64" s="30" t="s">
        <v>52</v>
      </c>
      <c r="BD64" s="27" t="s">
        <v>53</v>
      </c>
      <c r="BE64" s="29" t="s">
        <v>54</v>
      </c>
      <c r="BF64" s="29" t="s">
        <v>55</v>
      </c>
      <c r="BG64" s="30" t="s">
        <v>56</v>
      </c>
      <c r="BH64" s="27" t="s">
        <v>57</v>
      </c>
      <c r="BI64" s="29" t="s">
        <v>49</v>
      </c>
      <c r="BJ64" s="29" t="s">
        <v>50</v>
      </c>
      <c r="BK64" s="29" t="s">
        <v>51</v>
      </c>
      <c r="BL64" s="29" t="s">
        <v>52</v>
      </c>
      <c r="BM64" s="29" t="s">
        <v>58</v>
      </c>
      <c r="BN64" s="29" t="s">
        <v>59</v>
      </c>
      <c r="BO64" s="29" t="s">
        <v>60</v>
      </c>
      <c r="BP64" s="29" t="s">
        <v>61</v>
      </c>
      <c r="BQ64" s="29" t="s">
        <v>62</v>
      </c>
      <c r="BR64" s="29" t="s">
        <v>63</v>
      </c>
      <c r="BS64" s="30" t="s">
        <v>64</v>
      </c>
      <c r="BT64" s="27" t="s">
        <v>65</v>
      </c>
      <c r="BU64" s="29" t="s">
        <v>66</v>
      </c>
      <c r="BV64" s="29" t="s">
        <v>67</v>
      </c>
      <c r="BW64" s="30" t="s">
        <v>68</v>
      </c>
    </row>
    <row r="65" spans="2:144" ht="10.15" customHeight="1">
      <c r="B65" s="79"/>
      <c r="C65" s="79"/>
      <c r="D65" s="79"/>
      <c r="E65" s="79"/>
      <c r="F65" s="79"/>
      <c r="G65" s="79"/>
      <c r="H65" s="22"/>
      <c r="T65" s="22"/>
      <c r="U65" s="22"/>
      <c r="V65" s="22"/>
      <c r="W65" s="22"/>
      <c r="X65" s="22"/>
      <c r="Y65" s="22"/>
      <c r="Z65" s="22"/>
      <c r="AA65" s="22"/>
      <c r="AB65" s="22"/>
      <c r="AC65" s="22"/>
      <c r="AI65" s="37">
        <v>1</v>
      </c>
      <c r="AJ65" s="38">
        <f>ROUND(AK65,0)</f>
        <v>2</v>
      </c>
      <c r="AK65" s="39">
        <f>MIN(AL65:AL68)</f>
        <v>2.4500000000000002</v>
      </c>
      <c r="AL65" s="40">
        <f>SUM(BD65:BG65)+2.45</f>
        <v>2.4500000000000002</v>
      </c>
      <c r="AM65" s="41">
        <f>D64</f>
        <v>0</v>
      </c>
      <c r="AN65" s="42">
        <f>SUM(AR65:AU65)</f>
        <v>0</v>
      </c>
      <c r="AO65" s="43">
        <f>E64+E66+F68</f>
        <v>0</v>
      </c>
      <c r="AP65" s="42">
        <f>F64+F66+E68</f>
        <v>0</v>
      </c>
      <c r="AQ65" s="44">
        <f>AO65-AP65</f>
        <v>0</v>
      </c>
      <c r="AR65" s="42" t="s">
        <v>69</v>
      </c>
      <c r="AS65" s="42">
        <f>IF(ISBLANK(E64),0,IF(E64&gt;F64,3,IF(E64=F64,1,0)))</f>
        <v>0</v>
      </c>
      <c r="AT65" s="42">
        <f>IF(ISBLANK(E66),0,IF(E66&gt;F66,3,IF(E66=F66,1,0)))</f>
        <v>0</v>
      </c>
      <c r="AU65" s="42">
        <f>IF(ISBLANK(F68),0,IF(F68&gt;E68,3,IF(F68=E68,1,0)))</f>
        <v>0</v>
      </c>
      <c r="AV65" s="43" t="s">
        <v>69</v>
      </c>
      <c r="AW65" s="42" t="b">
        <f>(10*(AQ65-AQ66)+AO65-AO66&gt;0)</f>
        <v>0</v>
      </c>
      <c r="AX65" s="42" t="b">
        <f>10*(AQ65-AQ67)+AO65-AO67&gt;0</f>
        <v>0</v>
      </c>
      <c r="AY65" s="44" t="b">
        <f>10*(AQ65-AQ68)+AO65-AO68&gt;0</f>
        <v>0</v>
      </c>
      <c r="AZ65" s="43">
        <f>10000*(AS65+AT65)+(E66-F66+E64-F64)*100+(E66+E64)</f>
        <v>0</v>
      </c>
      <c r="BA65" s="42">
        <f>10000*(AS65+AU65)+(E64-F64+F68-E68)*100+(E64+F68)</f>
        <v>0</v>
      </c>
      <c r="BB65" s="42">
        <f>10000*(AT65+AU65)+(F68-E68+E66-F66)*100+(F68+E66)</f>
        <v>0</v>
      </c>
      <c r="BC65" s="44" t="s">
        <v>69</v>
      </c>
      <c r="BD65" s="43" t="s">
        <v>69</v>
      </c>
      <c r="BE65" s="45">
        <f>IF($AN65&gt;$AN66,-0.5,IF($AN66&gt;$AN65,0.5,IF(AW65,-0.5,IF(AV66,0.5,BU65))))</f>
        <v>0</v>
      </c>
      <c r="BF65" s="45">
        <f>IF($AN65&gt;$AN67,-0.5,IF($AN67&gt;$AN65,0.5,IF(AX65,-0.5,IF(AV67,0.5,BV65))))</f>
        <v>0</v>
      </c>
      <c r="BG65" s="46">
        <f>IF($AN65&gt;$AN68,-0.5,IF($AN68&gt;$AN65,0.5,IF(AY65,-0.5,IF(AV68,0.5,BW65))))</f>
        <v>0</v>
      </c>
      <c r="BH65" s="47" t="b">
        <f>AND(AND(AN65=AN66,AN66=AN67,AN67=AN68),AND(AO65=AO66,AO66=AO67,AO67=AO68),AND(AP65=AP66,AP66=AP67,AP67=AP68))</f>
        <v>1</v>
      </c>
      <c r="BI65" s="47" t="b">
        <f>AND(NOT(BH65),AN65=AN66,AN65=AN67,AO65=AO66,AO65=AO67,AP65=AP66,AP65=AP67)</f>
        <v>0</v>
      </c>
      <c r="BJ65" s="47" t="b">
        <f>AND(NOT(BH65),AN65=AN66,AN65=AN68,AO65=AO66,AO65=AO68,AP65=AP66,AP65=AP68)</f>
        <v>0</v>
      </c>
      <c r="BK65" s="47" t="b">
        <f>AND(NOT(BH65),AN65=AN67,AN65=AN68,AO65=AO67,AO65=AO68,AP65=AP67,AP65=AP68)</f>
        <v>0</v>
      </c>
      <c r="BL65" s="47" t="b">
        <f>AND(NOT(BH65),AN66=AN67,AN66=AN68,AO66=AO67,AO66=AO68,AP66=AP67,AP66=AP68)</f>
        <v>0</v>
      </c>
      <c r="BM65" s="47" t="b">
        <f>AND(NOT(BH65),NOT(BI65),NOT(BJ65),AN65=AN66,AO65=AO66,AP65=AP66)</f>
        <v>0</v>
      </c>
      <c r="BN65" s="47" t="b">
        <f>AND(NOT(BH65),NOT(BI65),NOT(BK65),AN65=AN67,AO65=AO67,AP65=AP67)</f>
        <v>0</v>
      </c>
      <c r="BO65" s="47" t="b">
        <f>AND(NOT(BH65),NOT(BJ65),NOT(BK65),AN65=AN68,AO65=AO68,AP65=AP68)</f>
        <v>0</v>
      </c>
      <c r="BP65" s="47" t="b">
        <f>AND(NOT(BH65),NOT(BI65),NOT(BL65),AN66=AN67,AO66=AO67)</f>
        <v>0</v>
      </c>
      <c r="BQ65" s="47" t="b">
        <f>AND(NOT(BH65),NOT(BJ65),NOT(BL65),AN66=AN68,AO66=AO68,AP66=AP68)</f>
        <v>0</v>
      </c>
      <c r="BR65" s="47" t="b">
        <f>AND(NOT(BH65),NOT(BK65),NOT(BL65),AN67=AN68,AO67=AO68,AP67=AP68)</f>
        <v>0</v>
      </c>
      <c r="BS65" s="47" t="b">
        <f t="array" ref="BS65">AND(NOT(BH65:BR65))</f>
        <v>0</v>
      </c>
      <c r="BT65" s="43" t="s">
        <v>69</v>
      </c>
      <c r="BU65" s="42">
        <f>IF($BM65,IF(F64-E64&lt;0,-0.5,IF(E64-F64&lt;0,0.5,0)),IF($BI65,IF($AZ65&gt;$AZ66,-0.5,IF($AZ65&lt;$AZ66,0.5,0)),IF($BJ65,IF($BA65&gt;$BA66,-0.5, IF($BA65&lt;$BA66,0.5,0)),0)))</f>
        <v>0</v>
      </c>
      <c r="BV65" s="42">
        <f>IF($BN65,IF(F66-E66&lt;0,-0.5,IF(E66-F66&lt;0,0.5,0)),IF($BI65,IF($AZ65&gt;$AZ67,-0.5,IF($AZ65&lt;$AZ67,0.5,0)),IF($BK65,IF($BB65&gt;$BB67,-0.5,IF($BB65&lt;$BB67,0.5,0)),0)))</f>
        <v>0</v>
      </c>
      <c r="BW65" s="44">
        <f>IF($BO65,IF(E68-F68&lt;0,-0.5,IF(F68-E68&lt;0,0.5,0)),IF($BJ65,IF($BA65&gt;$BA68,-0.5,IF($BA65&lt;$BA68,0.5,0)),IF($BK65,IF($BB65&gt;$BB68,-0.5, IF($BB65&lt;$BB68,0.5,0)),0)))</f>
        <v>0</v>
      </c>
    </row>
    <row r="66" spans="2:144" ht="10.15" customHeight="1">
      <c r="B66" s="79"/>
      <c r="C66" s="79"/>
      <c r="D66" s="79"/>
      <c r="E66" s="79"/>
      <c r="F66" s="79"/>
      <c r="G66" s="79"/>
      <c r="H66" s="22"/>
      <c r="T66" s="22"/>
      <c r="U66" s="22"/>
      <c r="V66" s="22"/>
      <c r="W66" s="22"/>
      <c r="X66" s="22"/>
      <c r="Y66" s="22"/>
      <c r="Z66" s="22"/>
      <c r="AA66" s="22"/>
      <c r="AB66" s="22"/>
      <c r="AC66" s="22"/>
      <c r="AI66" s="37">
        <f>IF(ROUND(AK66,0)=ROUND(AK65,0),AI65,2)</f>
        <v>1</v>
      </c>
      <c r="AJ66" s="38">
        <f>ROUND(AK66,0)</f>
        <v>2</v>
      </c>
      <c r="AK66" s="39">
        <f>MAX(MIN(AL65:AL67),MIN(AL65,AL66,AL68),MIN(AL65,AL67,AL68),MIN(AL66:AL68))</f>
        <v>2.46</v>
      </c>
      <c r="AL66" s="53">
        <f>SUM(BD66:BG66)+2.46</f>
        <v>2.46</v>
      </c>
      <c r="AM66" s="41">
        <f>G64</f>
        <v>0</v>
      </c>
      <c r="AN66" s="42">
        <f>SUM(AR66:AU66)</f>
        <v>0</v>
      </c>
      <c r="AO66" s="43">
        <f>F64+F67+E69</f>
        <v>0</v>
      </c>
      <c r="AP66" s="42">
        <f>E64+E67+F69</f>
        <v>0</v>
      </c>
      <c r="AQ66" s="44">
        <f>AO66-AP66</f>
        <v>0</v>
      </c>
      <c r="AR66" s="42">
        <f>IF(ISBLANK(F64),0,IF(AS65=3,0,IF(AS65=1,1,3)))</f>
        <v>0</v>
      </c>
      <c r="AS66" s="42" t="s">
        <v>69</v>
      </c>
      <c r="AT66" s="42">
        <f>IF(ISBLANK(E69),0,IF(AS67=3,0,IF(AS67=1,1,3)))</f>
        <v>0</v>
      </c>
      <c r="AU66" s="42">
        <f>IF(ISBLANK(F67),0,IF(F67&gt;E67,3,IF(F67=E67,1,0)))</f>
        <v>0</v>
      </c>
      <c r="AV66" s="43" t="b">
        <f>(10*(AQ65-AQ66)+AO65-AO66&lt;0)</f>
        <v>0</v>
      </c>
      <c r="AW66" s="42" t="s">
        <v>69</v>
      </c>
      <c r="AX66" s="42" t="b">
        <f>10*(AQ66-AQ67)+AO66-AO67&gt;0</f>
        <v>0</v>
      </c>
      <c r="AY66" s="44" t="b">
        <f>10*(AQ66-AQ68)+AO66-AO68&gt;0</f>
        <v>0</v>
      </c>
      <c r="AZ66" s="43">
        <f>10000*(AR66+AT66)+(F64-E64+E69-F69)*100+(F64+E69)</f>
        <v>0</v>
      </c>
      <c r="BA66" s="42">
        <f>10000*(AR66+AU66)+(F64-E64+F67-E67)*100+(F64+F67)</f>
        <v>0</v>
      </c>
      <c r="BB66" s="42" t="s">
        <v>69</v>
      </c>
      <c r="BC66" s="44">
        <f>10000*(AT66+AU66)+(F67-E67+E69-F69)*100+(F67+E69)</f>
        <v>0</v>
      </c>
      <c r="BD66" s="54">
        <f>-BE65</f>
        <v>0</v>
      </c>
      <c r="BE66" s="42" t="s">
        <v>69</v>
      </c>
      <c r="BF66" s="45">
        <f>IF($AN66&gt;$AN67,-0.5,IF($AN67&gt;$AN66,0.5,IF(AX66,-0.5,IF(AW67,0.5,BV66))))</f>
        <v>0</v>
      </c>
      <c r="BG66" s="46">
        <f>IF($AN66&gt;$AN68,-0.5,IF($AN68&gt;$AN66,0.5,IF(AY66,-0.5,IF(AW68,0.5,BW66))))</f>
        <v>0</v>
      </c>
      <c r="BH66" s="21"/>
      <c r="BI66" s="21"/>
      <c r="BJ66" s="21"/>
      <c r="BK66" s="21"/>
      <c r="BL66" s="21"/>
      <c r="BM66" s="21"/>
      <c r="BN66" s="21"/>
      <c r="BO66" s="21"/>
      <c r="BP66" s="21"/>
      <c r="BQ66" s="21"/>
      <c r="BR66" s="21"/>
      <c r="BS66" s="21"/>
      <c r="BT66" s="43"/>
      <c r="BU66" s="42" t="s">
        <v>69</v>
      </c>
      <c r="BV66" s="42">
        <f>IF($BP65,IF(F69-E69&lt;0,-0.5,IF(E69-F69&lt;0,0.5,0)),IF($BI65,IF($AZ66&gt;$AZ67,-0.5,IF($AZ66&lt;$AZ67,0.5,0)),IF($BL65,IF($BC66&gt;$BC67,-0.5,IF($BC66&lt;$BC67,0.5,0)),0)))</f>
        <v>0</v>
      </c>
      <c r="BW66" s="44">
        <f>IF($BQ65,IF(E67-F67&lt;0,-0.5,IF(F67-E67&lt;0,0.5,0)),IF($BJ65,IF($BA66&gt;$BA68,-0.5,IF($BA66&lt;$BA68,0.5,0)),IF($BL65,IF($BC66&gt;$BC68,-0.5,IF($BC66&lt;$BC68,0.5,0)),0)))</f>
        <v>0</v>
      </c>
    </row>
    <row r="67" spans="2:144" ht="10.15" customHeight="1">
      <c r="B67" s="79"/>
      <c r="C67" s="79"/>
      <c r="D67" s="79"/>
      <c r="E67" s="79"/>
      <c r="F67" s="79"/>
      <c r="G67" s="79"/>
      <c r="H67" s="22"/>
      <c r="T67" s="22"/>
      <c r="U67" s="22"/>
      <c r="V67" s="22"/>
      <c r="W67" s="22"/>
      <c r="X67" s="22"/>
      <c r="Y67" s="22"/>
      <c r="Z67" s="22"/>
      <c r="AA67" s="22"/>
      <c r="AB67" s="22"/>
      <c r="AC67" s="22"/>
      <c r="AI67" s="37">
        <f>IF(ROUND(AK67,0)=ROUND(AK66,0),AI66,3)</f>
        <v>1</v>
      </c>
      <c r="AJ67" s="38">
        <f>ROUND(AK67,0)</f>
        <v>2</v>
      </c>
      <c r="AK67" s="39">
        <f>MIN(MAX(AL65:AL67),MAX(AL65,AL66,AL68),MAX(AL65,AL67,AL68),MAX(AL66:AL68))</f>
        <v>2.4700000000000002</v>
      </c>
      <c r="AL67" s="53">
        <f>SUM(BD67:BG67)+2.47</f>
        <v>2.4700000000000002</v>
      </c>
      <c r="AM67" s="41">
        <f>D65</f>
        <v>0</v>
      </c>
      <c r="AN67" s="42">
        <f>SUM(AR67:AU67)</f>
        <v>0</v>
      </c>
      <c r="AO67" s="43">
        <f>E65+F66+F69</f>
        <v>0</v>
      </c>
      <c r="AP67" s="42">
        <f>F65+E66+E69</f>
        <v>0</v>
      </c>
      <c r="AQ67" s="44">
        <f>AO67-AP67</f>
        <v>0</v>
      </c>
      <c r="AR67" s="42">
        <f>IF(ISBLANK(F66),0,IF(AT65=3,0,IF(AT65=1,1,3)))</f>
        <v>0</v>
      </c>
      <c r="AS67" s="42">
        <f>IF(ISBLANK(F69),0,IF(F69&gt;E69,3,IF(F69=E69,1,0)))</f>
        <v>0</v>
      </c>
      <c r="AT67" s="42" t="s">
        <v>69</v>
      </c>
      <c r="AU67" s="42">
        <f>IF(ISBLANK(E65),0,IF(E65&gt;F65,3,IF(E65=F65,1,0)))</f>
        <v>0</v>
      </c>
      <c r="AV67" s="43" t="b">
        <f>10*(AQ65-AQ67)+AO65-AO67&lt;0</f>
        <v>0</v>
      </c>
      <c r="AW67" s="42" t="b">
        <f>10*(AQ66-AQ67)+AO66-AO67&lt;0</f>
        <v>0</v>
      </c>
      <c r="AX67" s="42" t="s">
        <v>69</v>
      </c>
      <c r="AY67" s="44" t="b">
        <f>10*(AQ67-AQ68)+AO67-AO68&gt;0</f>
        <v>0</v>
      </c>
      <c r="AZ67" s="43">
        <f>10000*(AR67+AS67)+(F66-E66+F69-E69)*100+(F66+F69)</f>
        <v>0</v>
      </c>
      <c r="BA67" s="42" t="s">
        <v>69</v>
      </c>
      <c r="BB67" s="42">
        <f>10000*(AR67+AU67)+(E65-F65+F66-E66)*100+(E65+F66)</f>
        <v>0</v>
      </c>
      <c r="BC67" s="44">
        <f>10000*(AS67+AU67)+(E65-F65+F69-E69)*100+(E65+F69)</f>
        <v>0</v>
      </c>
      <c r="BD67" s="54">
        <f>-BF65</f>
        <v>0</v>
      </c>
      <c r="BE67" s="45">
        <f>-BF66</f>
        <v>0</v>
      </c>
      <c r="BF67" s="45" t="s">
        <v>69</v>
      </c>
      <c r="BG67" s="46">
        <f>IF($AN67&gt;$AN68,-0.5,IF($AN68&gt;$AN67,0.5,IF(AY67,-0.5,IF(AX68,0.5,BW67))))</f>
        <v>0</v>
      </c>
      <c r="BH67" s="21"/>
      <c r="BI67" s="21"/>
      <c r="BJ67" s="21"/>
      <c r="BK67" s="21"/>
      <c r="BL67" s="21"/>
      <c r="BM67" s="21"/>
      <c r="BN67" s="21"/>
      <c r="BO67" s="21"/>
      <c r="BP67" s="21"/>
      <c r="BQ67" s="21"/>
      <c r="BR67" s="21"/>
      <c r="BS67" s="21"/>
      <c r="BT67" s="43"/>
      <c r="BU67" s="42"/>
      <c r="BV67" s="42" t="s">
        <v>69</v>
      </c>
      <c r="BW67" s="44">
        <f>IF($BR65,IF(F65-E65&lt;0,-0.5,IF(E65-F65&lt;0,0.5,0)),IF($BK65,IF($BB67&gt;$BB68,-0.5,IF($BB67&lt;$BB68,0.5,0)),IF($BL65,IF($BC67&gt;$BC68,-0.5,IF($BC67&lt;$BC68,0.5,0)),0)))</f>
        <v>0</v>
      </c>
    </row>
    <row r="68" spans="2:144" ht="10.15" customHeight="1">
      <c r="B68" s="79"/>
      <c r="C68" s="79"/>
      <c r="D68" s="79"/>
      <c r="E68" s="79"/>
      <c r="F68" s="79"/>
      <c r="G68" s="79"/>
      <c r="H68" s="22"/>
      <c r="T68" s="22"/>
      <c r="U68" s="22"/>
      <c r="V68" s="22"/>
      <c r="W68" s="22"/>
      <c r="X68" s="22"/>
      <c r="Y68" s="22"/>
      <c r="Z68" s="22"/>
      <c r="AA68" s="22"/>
      <c r="AB68" s="22"/>
      <c r="AC68" s="22"/>
      <c r="AI68" s="37">
        <f>IF(ROUND(AK68,0)=ROUND(AK67,0),AI67,4)</f>
        <v>1</v>
      </c>
      <c r="AJ68" s="38">
        <f>ROUND(AK68,0)</f>
        <v>2</v>
      </c>
      <c r="AK68" s="39">
        <f>MAX(AL65:AL68)</f>
        <v>2.48</v>
      </c>
      <c r="AL68" s="63">
        <f>SUM(BD68:BG68)+2.48</f>
        <v>2.48</v>
      </c>
      <c r="AM68" s="64">
        <f>G65</f>
        <v>0</v>
      </c>
      <c r="AN68" s="47">
        <f>SUM(AR68:AU68)</f>
        <v>0</v>
      </c>
      <c r="AO68" s="65">
        <f>F65+E67+E68</f>
        <v>0</v>
      </c>
      <c r="AP68" s="47">
        <f>E65+F67+F68</f>
        <v>0</v>
      </c>
      <c r="AQ68" s="66">
        <f>AO68-AP68</f>
        <v>0</v>
      </c>
      <c r="AR68" s="47">
        <f>IF(ISBLANK(E68),0,IF(AU65=3,0,IF(AU65=1,1,3)))</f>
        <v>0</v>
      </c>
      <c r="AS68" s="47">
        <f>IF(ISBLANK(E67),0,IF(AU66=3,0,IF(AU66=1,1,3)))</f>
        <v>0</v>
      </c>
      <c r="AT68" s="47">
        <f>IF(ISBLANK(F65),0,IF(AU67=3,0,IF(AU67=1,1,3)))</f>
        <v>0</v>
      </c>
      <c r="AU68" s="47" t="s">
        <v>69</v>
      </c>
      <c r="AV68" s="65" t="b">
        <f>10*(AQ65-AQ68)+AO65-AO68&lt;0</f>
        <v>0</v>
      </c>
      <c r="AW68" s="47" t="b">
        <f>10*(AQ66-AQ68)+AO66-AO68&lt;0</f>
        <v>0</v>
      </c>
      <c r="AX68" s="47" t="b">
        <f>10*(AQ67-AQ68)+AO67-AO68&lt;0</f>
        <v>0</v>
      </c>
      <c r="AY68" s="66" t="s">
        <v>69</v>
      </c>
      <c r="AZ68" s="65" t="s">
        <v>69</v>
      </c>
      <c r="BA68" s="47">
        <f>10000*(AR68+AS68)+(E67-F67+E68-F68)*100+(E67+E68)</f>
        <v>0</v>
      </c>
      <c r="BB68" s="47">
        <f>10000*(AR68+AT68)+(E68-F68+F65-E65)*100+(E68+F65)</f>
        <v>0</v>
      </c>
      <c r="BC68" s="66">
        <f>10000*(AS68+AT68)+(E67-F67+F65-E65)*100+(E67+F65)</f>
        <v>0</v>
      </c>
      <c r="BD68" s="67">
        <f>-BG65</f>
        <v>0</v>
      </c>
      <c r="BE68" s="68">
        <f>-BG66</f>
        <v>0</v>
      </c>
      <c r="BF68" s="68">
        <f>-BG67</f>
        <v>0</v>
      </c>
      <c r="BG68" s="66" t="s">
        <v>69</v>
      </c>
      <c r="BH68" s="21"/>
      <c r="BI68" s="21"/>
      <c r="BJ68" s="21"/>
      <c r="BK68" s="21"/>
      <c r="BL68" s="21"/>
      <c r="BM68" s="21"/>
      <c r="BN68" s="21"/>
      <c r="BO68" s="21"/>
      <c r="BP68" s="21"/>
      <c r="BQ68" s="21"/>
      <c r="BR68" s="21"/>
      <c r="BS68" s="21"/>
      <c r="BT68" s="65"/>
      <c r="BU68" s="47"/>
      <c r="BV68" s="47"/>
      <c r="BW68" s="66" t="s">
        <v>69</v>
      </c>
    </row>
    <row r="69" spans="2:144" ht="10.15" customHeight="1">
      <c r="B69" s="79"/>
      <c r="C69" s="79"/>
      <c r="D69" s="79"/>
      <c r="E69" s="79"/>
      <c r="F69" s="79"/>
      <c r="G69" s="79"/>
      <c r="H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</row>
    <row r="70" spans="2:144">
      <c r="D70" s="103"/>
      <c r="G70" s="104"/>
    </row>
    <row r="74" spans="2:144">
      <c r="ED74" s="31"/>
      <c r="EE74" s="32"/>
      <c r="EF74" s="33"/>
      <c r="EG74" s="34"/>
      <c r="EH74" s="33"/>
      <c r="EI74" s="35"/>
      <c r="EJ74" s="22"/>
      <c r="EK74" s="22"/>
      <c r="EL74" s="22"/>
      <c r="EM74" s="22"/>
      <c r="EN74" s="22"/>
    </row>
    <row r="75" spans="2:144">
      <c r="ED75" s="48"/>
      <c r="EE75" s="49"/>
      <c r="EF75" s="50"/>
      <c r="EG75" s="51"/>
      <c r="EH75" s="50"/>
      <c r="EI75" s="52"/>
      <c r="EJ75" s="22"/>
      <c r="EK75" s="22"/>
      <c r="EL75" s="22"/>
      <c r="EM75" s="22"/>
      <c r="EN75" s="22"/>
    </row>
    <row r="76" spans="2:144">
      <c r="ED76" s="48"/>
      <c r="EE76" s="55"/>
      <c r="EF76" s="56"/>
      <c r="EG76" s="57"/>
      <c r="EH76" s="56"/>
      <c r="EI76" s="58"/>
      <c r="EJ76" s="22"/>
      <c r="EK76" s="22"/>
      <c r="EL76" s="22"/>
      <c r="EM76" s="22"/>
      <c r="EN76" s="22"/>
    </row>
    <row r="77" spans="2:144">
      <c r="ED77" s="59"/>
      <c r="EE77" s="60"/>
      <c r="EF77" s="61"/>
      <c r="EG77" s="62"/>
      <c r="EH77" s="61"/>
      <c r="EI77" s="36"/>
      <c r="EJ77" s="22"/>
      <c r="EK77" s="22"/>
      <c r="EL77" s="22"/>
      <c r="EM77" s="22"/>
      <c r="EN77" s="22"/>
    </row>
    <row r="78" spans="2:144">
      <c r="ED78" s="69"/>
      <c r="EE78" s="70"/>
      <c r="EF78" s="71"/>
      <c r="EG78" s="71"/>
      <c r="EH78" s="71"/>
      <c r="EI78" s="71"/>
      <c r="EJ78" s="22"/>
      <c r="EK78" s="22"/>
      <c r="EL78" s="22"/>
      <c r="EM78" s="22"/>
      <c r="EN78" s="22"/>
    </row>
    <row r="79" spans="2:144">
      <c r="ED79" s="73"/>
      <c r="EE79" s="22"/>
      <c r="EF79" s="22"/>
      <c r="EG79" s="22"/>
      <c r="EH79" s="22"/>
      <c r="EI79" s="22"/>
      <c r="EJ79" s="22"/>
      <c r="EK79" s="22"/>
      <c r="EL79" s="22"/>
      <c r="EM79" s="22"/>
      <c r="EN79" s="22"/>
    </row>
    <row r="80" spans="2:144">
      <c r="ED80" s="73"/>
      <c r="EE80" s="22"/>
      <c r="EF80" s="22"/>
      <c r="EG80" s="22"/>
      <c r="EH80" s="22"/>
      <c r="EI80" s="22"/>
      <c r="EJ80" s="22"/>
      <c r="EK80" s="22"/>
      <c r="EL80" s="22"/>
      <c r="EM80" s="22"/>
      <c r="EN80" s="22"/>
    </row>
    <row r="81" spans="134:144">
      <c r="ED81" s="73"/>
      <c r="EE81" s="26"/>
      <c r="EF81" s="26"/>
      <c r="EG81" s="26"/>
      <c r="EH81" s="26"/>
      <c r="EI81" s="26"/>
      <c r="EJ81" s="22"/>
      <c r="EK81" s="22"/>
      <c r="EL81" s="22"/>
      <c r="EM81" s="22"/>
      <c r="EN81" s="22"/>
    </row>
    <row r="82" spans="134:144">
      <c r="ED82" s="31"/>
      <c r="EE82" s="32"/>
      <c r="EF82" s="33"/>
      <c r="EG82" s="34"/>
      <c r="EH82" s="33"/>
      <c r="EI82" s="35"/>
      <c r="EJ82" s="22"/>
      <c r="EK82" s="22"/>
      <c r="EL82" s="22"/>
      <c r="EM82" s="22"/>
      <c r="EN82" s="22"/>
    </row>
    <row r="83" spans="134:144">
      <c r="ED83" s="48"/>
      <c r="EE83" s="49"/>
      <c r="EF83" s="50"/>
      <c r="EG83" s="51"/>
      <c r="EH83" s="50"/>
      <c r="EI83" s="52"/>
      <c r="EJ83" s="22"/>
      <c r="EK83" s="22"/>
      <c r="EL83" s="22"/>
      <c r="EM83" s="22"/>
      <c r="EN83" s="22"/>
    </row>
    <row r="84" spans="134:144">
      <c r="ED84" s="48"/>
      <c r="EE84" s="55"/>
      <c r="EF84" s="56"/>
      <c r="EG84" s="57"/>
      <c r="EH84" s="56"/>
      <c r="EI84" s="58"/>
      <c r="EJ84" s="22"/>
      <c r="EK84" s="22"/>
      <c r="EL84" s="22"/>
      <c r="EM84" s="22"/>
      <c r="EN84" s="22"/>
    </row>
    <row r="85" spans="134:144">
      <c r="ED85" s="59"/>
      <c r="EE85" s="60"/>
      <c r="EF85" s="61"/>
      <c r="EG85" s="62"/>
      <c r="EH85" s="61"/>
      <c r="EI85" s="36"/>
      <c r="EJ85" s="22"/>
      <c r="EK85" s="22"/>
      <c r="EL85" s="22"/>
      <c r="EM85" s="22"/>
      <c r="EN85" s="22"/>
    </row>
    <row r="86" spans="134:144">
      <c r="ED86" s="69"/>
      <c r="EE86" s="70"/>
      <c r="EF86" s="71"/>
      <c r="EG86" s="71"/>
      <c r="EH86" s="71"/>
      <c r="EI86" s="71"/>
      <c r="EJ86" s="22"/>
      <c r="EK86" s="22"/>
      <c r="EL86" s="22"/>
      <c r="EM86" s="22"/>
      <c r="EN86" s="22"/>
    </row>
  </sheetData>
  <sheetProtection formatCells="0" formatColumns="0" formatRows="0" insertColumns="0" insertRows="0" insertHyperlinks="0" deleteColumns="0" deleteRows="0" selectLockedCells="1" sort="0" autoFilter="0" pivotTables="0"/>
  <dataConsolidate/>
  <mergeCells count="41">
    <mergeCell ref="U46:W47"/>
    <mergeCell ref="I46:T47"/>
    <mergeCell ref="S36:S39"/>
    <mergeCell ref="T36:T39"/>
    <mergeCell ref="S18:S19"/>
    <mergeCell ref="T18:T19"/>
    <mergeCell ref="S20:S21"/>
    <mergeCell ref="T20:T21"/>
    <mergeCell ref="S26:S27"/>
    <mergeCell ref="S32:S33"/>
    <mergeCell ref="T32:T33"/>
    <mergeCell ref="S25:V25"/>
    <mergeCell ref="S41:V42"/>
    <mergeCell ref="T12:T13"/>
    <mergeCell ref="S12:S13"/>
    <mergeCell ref="S16:S17"/>
    <mergeCell ref="T16:T17"/>
    <mergeCell ref="S14:S15"/>
    <mergeCell ref="T14:T15"/>
    <mergeCell ref="S7:V7"/>
    <mergeCell ref="T8:T9"/>
    <mergeCell ref="S10:S11"/>
    <mergeCell ref="T10:T11"/>
    <mergeCell ref="S8:S9"/>
    <mergeCell ref="B1:W5"/>
    <mergeCell ref="S50:X50"/>
    <mergeCell ref="W41:W42"/>
    <mergeCell ref="T22:T23"/>
    <mergeCell ref="T26:T27"/>
    <mergeCell ref="S28:S29"/>
    <mergeCell ref="T28:T29"/>
    <mergeCell ref="S22:S23"/>
    <mergeCell ref="U36:U37"/>
    <mergeCell ref="U38:U39"/>
    <mergeCell ref="V36:V37"/>
    <mergeCell ref="V38:V39"/>
    <mergeCell ref="W36:W37"/>
    <mergeCell ref="W38:W39"/>
    <mergeCell ref="S49:X49"/>
    <mergeCell ref="S30:S31"/>
    <mergeCell ref="T30:T31"/>
  </mergeCells>
  <phoneticPr fontId="0" type="noConversion"/>
  <conditionalFormatting sqref="U8 U10 U12 U14 U16 U18 U20 U22 U26 U28 U30 U32 U36 U38">
    <cfRule type="expression" dxfId="22" priority="10" stopIfTrue="1">
      <formula>100*$V8+$W8&gt;100*$V9+$W9</formula>
    </cfRule>
  </conditionalFormatting>
  <conditionalFormatting sqref="U9 U11 U13 U15 U17 U19 U21 U23 U27 U29 U31 U33">
    <cfRule type="expression" dxfId="21" priority="11" stopIfTrue="1">
      <formula>100*$V9+$W9&gt;100*$V8+$W8</formula>
    </cfRule>
  </conditionalFormatting>
  <conditionalFormatting sqref="AA50">
    <cfRule type="expression" dxfId="20" priority="12" stopIfTrue="1">
      <formula>100*$AB50+$AC50&gt;100*$AB51+$AC51</formula>
    </cfRule>
  </conditionalFormatting>
  <conditionalFormatting sqref="AA51">
    <cfRule type="expression" dxfId="19" priority="13" stopIfTrue="1">
      <formula>100*$AB51+$AC51&gt;100*$AB50+$AC50</formula>
    </cfRule>
  </conditionalFormatting>
  <conditionalFormatting sqref="J35:N35 J11:N11 J27:N27 J19:N19">
    <cfRule type="expression" dxfId="18" priority="14" stopIfTrue="1">
      <formula>OR($I11&lt;3)</formula>
    </cfRule>
  </conditionalFormatting>
  <conditionalFormatting sqref="J36:N36 J12:N12 J28:N28 J20:N20">
    <cfRule type="expression" dxfId="17" priority="15" stopIfTrue="1">
      <formula>$I12&lt;3</formula>
    </cfRule>
  </conditionalFormatting>
  <conditionalFormatting sqref="GG49:GG54 U46">
    <cfRule type="cellIs" dxfId="16" priority="31" stopIfTrue="1" operator="notEqual">
      <formula>"-"</formula>
    </cfRule>
  </conditionalFormatting>
  <conditionalFormatting sqref="GI44:GM44">
    <cfRule type="expression" dxfId="15" priority="32" stopIfTrue="1">
      <formula>OR($I43&lt;3)</formula>
    </cfRule>
  </conditionalFormatting>
  <conditionalFormatting sqref="GI45:GM45">
    <cfRule type="expression" dxfId="14" priority="33" stopIfTrue="1">
      <formula>$I44&lt;3</formula>
    </cfRule>
  </conditionalFormatting>
  <conditionalFormatting sqref="FZ49:GD49">
    <cfRule type="expression" dxfId="13" priority="34" stopIfTrue="1">
      <formula>OR($I51&lt;3)</formula>
    </cfRule>
  </conditionalFormatting>
  <conditionalFormatting sqref="FZ50:GD50">
    <cfRule type="expression" dxfId="12" priority="35" stopIfTrue="1">
      <formula>$I52&lt;3</formula>
    </cfRule>
  </conditionalFormatting>
  <conditionalFormatting sqref="EZ39">
    <cfRule type="expression" dxfId="11" priority="36" stopIfTrue="1">
      <formula>100*$FA39+$FB39&gt;100*$FA40+$FB40</formula>
    </cfRule>
  </conditionalFormatting>
  <conditionalFormatting sqref="EZ40">
    <cfRule type="expression" dxfId="10" priority="37" stopIfTrue="1">
      <formula>100*$FA40+$FB40&gt;100*$FA39+$FB39</formula>
    </cfRule>
  </conditionalFormatting>
  <conditionalFormatting sqref="EE76:EI76 EE84:EI84">
    <cfRule type="expression" dxfId="9" priority="38" stopIfTrue="1">
      <formula>OR($ED76&lt;3)</formula>
    </cfRule>
  </conditionalFormatting>
  <conditionalFormatting sqref="EE77:EI77 EE85:EI85">
    <cfRule type="expression" dxfId="8" priority="40" stopIfTrue="1">
      <formula>$ED77&lt;3</formula>
    </cfRule>
  </conditionalFormatting>
  <conditionalFormatting sqref="J9:N9">
    <cfRule type="expression" dxfId="7" priority="8" stopIfTrue="1">
      <formula>OR($I9&lt;3)</formula>
    </cfRule>
  </conditionalFormatting>
  <conditionalFormatting sqref="J10:N10">
    <cfRule type="expression" dxfId="6" priority="7" stopIfTrue="1">
      <formula>$I10&lt;3</formula>
    </cfRule>
  </conditionalFormatting>
  <conditionalFormatting sqref="J17:N17">
    <cfRule type="expression" dxfId="5" priority="6" stopIfTrue="1">
      <formula>OR($I17&lt;3)</formula>
    </cfRule>
  </conditionalFormatting>
  <conditionalFormatting sqref="J18:N18">
    <cfRule type="expression" dxfId="4" priority="5" stopIfTrue="1">
      <formula>$I18&lt;3</formula>
    </cfRule>
  </conditionalFormatting>
  <conditionalFormatting sqref="J25:N25">
    <cfRule type="expression" dxfId="3" priority="4" stopIfTrue="1">
      <formula>OR($I25&lt;3)</formula>
    </cfRule>
  </conditionalFormatting>
  <conditionalFormatting sqref="J26:N26">
    <cfRule type="expression" dxfId="2" priority="3" stopIfTrue="1">
      <formula>$I26&lt;3</formula>
    </cfRule>
  </conditionalFormatting>
  <conditionalFormatting sqref="J33:N33">
    <cfRule type="expression" dxfId="1" priority="2" stopIfTrue="1">
      <formula>OR($I33&lt;3)</formula>
    </cfRule>
  </conditionalFormatting>
  <conditionalFormatting sqref="J34:N34">
    <cfRule type="expression" dxfId="0" priority="1" stopIfTrue="1">
      <formula>$I34&lt;3</formula>
    </cfRule>
  </conditionalFormatting>
  <pageMargins left="0.78740157480314965" right="0.78740157480314965" top="0.31" bottom="0.44" header="0.32" footer="0.3"/>
  <pageSetup paperSize="9" scale="70" orientation="landscape" horizontalDpi="4294967293" r:id="rId1"/>
  <headerFooter alignWithMargins="0"/>
  <ignoredErrors>
    <ignoredError sqref="I9:N12 J13 I17:N21 I25:N38 D30:D31 S24:W24 S45:W45 U28 S34:W34 X35:AB40 Y30:AB30 Y29:AB29 Y28:AB28 Y32:AB32 S48:X51 X45:X47 X43 D38 X44 W25 N8 N16 N24 X42 X41 U29 Y31:AB31 Y33:AB33 Y34:AB34 X29:X33 X26 G30:G31 G38 S40:U40 U26:U27 U8:U15 U46" unlockedFormula="1"/>
    <ignoredError sqref="X28 X27" formula="1" unlockedFormula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0"/>
  </sheetPr>
  <dimension ref="A1:AH83"/>
  <sheetViews>
    <sheetView zoomScale="124" zoomScaleNormal="124" workbookViewId="0">
      <selection activeCell="Q13" sqref="Q13"/>
    </sheetView>
  </sheetViews>
  <sheetFormatPr baseColWidth="10" defaultColWidth="11.42578125" defaultRowHeight="12.75"/>
  <cols>
    <col min="1" max="1" width="2.28515625" style="1" customWidth="1"/>
    <col min="2" max="2" width="7.42578125" style="1" bestFit="1" customWidth="1"/>
    <col min="3" max="3" width="8.7109375" style="1" customWidth="1"/>
    <col min="4" max="4" width="6.5703125" style="1" customWidth="1"/>
    <col min="5" max="5" width="22.7109375" customWidth="1"/>
    <col min="6" max="6" width="14.7109375" customWidth="1"/>
    <col min="7" max="7" width="15.42578125" customWidth="1"/>
    <col min="8" max="8" width="15.5703125" customWidth="1"/>
    <col min="9" max="9" width="2.42578125" style="1" customWidth="1"/>
    <col min="10" max="16" width="10.7109375" style="1"/>
    <col min="17" max="17" width="4.140625" style="1" customWidth="1"/>
    <col min="18" max="18" width="51.28515625" style="1" customWidth="1"/>
    <col min="19" max="34" width="10.7109375" style="1"/>
  </cols>
  <sheetData>
    <row r="1" spans="2:18" s="1" customFormat="1" ht="18.95" customHeight="1"/>
    <row r="2" spans="2:18" ht="18.95" customHeight="1">
      <c r="B2" s="3" t="s">
        <v>76</v>
      </c>
      <c r="C2" s="3" t="s">
        <v>77</v>
      </c>
      <c r="D2" s="3" t="s">
        <v>78</v>
      </c>
      <c r="E2" s="2" t="s">
        <v>79</v>
      </c>
      <c r="F2" s="2" t="s">
        <v>80</v>
      </c>
      <c r="G2" s="2" t="s">
        <v>81</v>
      </c>
      <c r="H2" s="2" t="s">
        <v>82</v>
      </c>
      <c r="I2" s="211" t="s">
        <v>105</v>
      </c>
      <c r="J2" s="211"/>
      <c r="K2" s="211"/>
      <c r="R2" s="205"/>
    </row>
    <row r="3" spans="2:18" ht="18.95" customHeight="1">
      <c r="B3" s="208" t="s">
        <v>83</v>
      </c>
      <c r="C3" s="192">
        <f>SUM(D3:D6)</f>
        <v>307</v>
      </c>
      <c r="D3" s="147">
        <v>119</v>
      </c>
      <c r="E3" s="148" t="str">
        <f>'Tableau des Matches'!AM9</f>
        <v>EQUATORIAL GUINEA</v>
      </c>
      <c r="F3" s="149">
        <f>'Tableau des Matches'!AO9</f>
        <v>0</v>
      </c>
      <c r="G3" s="149">
        <f>'Tableau des Matches'!AP9</f>
        <v>0</v>
      </c>
      <c r="H3" s="148">
        <f>F3-G3</f>
        <v>0</v>
      </c>
      <c r="I3" s="196">
        <v>4</v>
      </c>
      <c r="J3" s="197"/>
      <c r="K3" s="198"/>
      <c r="R3" s="206"/>
    </row>
    <row r="4" spans="2:18" ht="18.95" customHeight="1">
      <c r="B4" s="209"/>
      <c r="C4" s="193"/>
      <c r="D4" s="147">
        <v>59</v>
      </c>
      <c r="E4" s="150" t="str">
        <f>'Tableau des Matches'!AM10</f>
        <v>CONGO</v>
      </c>
      <c r="F4" s="151">
        <f>'Tableau des Matches'!AO10</f>
        <v>0</v>
      </c>
      <c r="G4" s="151">
        <f>'Tableau des Matches'!AP10</f>
        <v>0</v>
      </c>
      <c r="H4" s="150">
        <f t="shared" ref="H4:H18" si="0">F4-G4</f>
        <v>0</v>
      </c>
      <c r="I4" s="199"/>
      <c r="J4" s="200"/>
      <c r="K4" s="201"/>
      <c r="R4" s="207"/>
    </row>
    <row r="5" spans="2:18" ht="18.95" customHeight="1">
      <c r="B5" s="209"/>
      <c r="C5" s="193"/>
      <c r="D5" s="147">
        <v>65</v>
      </c>
      <c r="E5" s="150" t="str">
        <f>'Tableau des Matches'!AM11</f>
        <v>BURKINA FASO</v>
      </c>
      <c r="F5" s="151">
        <f>'Tableau des Matches'!AO11</f>
        <v>0</v>
      </c>
      <c r="G5" s="151">
        <f>'Tableau des Matches'!AP11</f>
        <v>0</v>
      </c>
      <c r="H5" s="150">
        <f t="shared" si="0"/>
        <v>0</v>
      </c>
      <c r="I5" s="199"/>
      <c r="J5" s="200"/>
      <c r="K5" s="201"/>
      <c r="R5" s="207"/>
    </row>
    <row r="6" spans="2:18" ht="18.95" customHeight="1">
      <c r="B6" s="210"/>
      <c r="C6" s="194"/>
      <c r="D6" s="147">
        <v>64</v>
      </c>
      <c r="E6" s="152" t="str">
        <f>'Tableau des Matches'!AM12</f>
        <v>GABON</v>
      </c>
      <c r="F6" s="153">
        <f>'Tableau des Matches'!AO12</f>
        <v>0</v>
      </c>
      <c r="G6" s="153">
        <f>'Tableau des Matches'!AP12</f>
        <v>0</v>
      </c>
      <c r="H6" s="152">
        <f t="shared" si="0"/>
        <v>0</v>
      </c>
      <c r="I6" s="202"/>
      <c r="J6" s="203"/>
      <c r="K6" s="204"/>
      <c r="R6" s="207"/>
    </row>
    <row r="7" spans="2:18" ht="18.95" customHeight="1">
      <c r="B7" s="208" t="s">
        <v>84</v>
      </c>
      <c r="C7" s="192">
        <f>SUM(D7:D10)</f>
        <v>178</v>
      </c>
      <c r="D7" s="147">
        <v>62</v>
      </c>
      <c r="E7" s="148" t="str">
        <f>'Tableau des Matches'!AM17</f>
        <v>ZAMBIE</v>
      </c>
      <c r="F7" s="149">
        <f>'Tableau des Matches'!AO17</f>
        <v>0</v>
      </c>
      <c r="G7" s="149">
        <f>'Tableau des Matches'!AP17</f>
        <v>0</v>
      </c>
      <c r="H7" s="148">
        <f t="shared" si="0"/>
        <v>0</v>
      </c>
      <c r="I7" s="196">
        <v>3</v>
      </c>
      <c r="J7" s="197"/>
      <c r="K7" s="198"/>
      <c r="R7" s="207"/>
    </row>
    <row r="8" spans="2:18" ht="18.95" customHeight="1">
      <c r="B8" s="209"/>
      <c r="C8" s="193"/>
      <c r="D8" s="147">
        <v>55</v>
      </c>
      <c r="E8" s="150" t="str">
        <f>'Tableau des Matches'!AM18</f>
        <v>RD CONGO</v>
      </c>
      <c r="F8" s="151">
        <f>'Tableau des Matches'!AO18</f>
        <v>0</v>
      </c>
      <c r="G8" s="151">
        <f>'Tableau des Matches'!AP18</f>
        <v>0</v>
      </c>
      <c r="H8" s="150">
        <f t="shared" si="0"/>
        <v>0</v>
      </c>
      <c r="I8" s="199"/>
      <c r="J8" s="200"/>
      <c r="K8" s="201"/>
      <c r="R8" s="207"/>
    </row>
    <row r="9" spans="2:18" ht="18.95" customHeight="1">
      <c r="B9" s="209"/>
      <c r="C9" s="193"/>
      <c r="D9" s="147">
        <v>22</v>
      </c>
      <c r="E9" s="150" t="str">
        <f>'Tableau des Matches'!AM19</f>
        <v xml:space="preserve">TUNISIE </v>
      </c>
      <c r="F9" s="151">
        <f>'Tableau des Matches'!AO19</f>
        <v>0</v>
      </c>
      <c r="G9" s="151">
        <f>'Tableau des Matches'!AP19</f>
        <v>0</v>
      </c>
      <c r="H9" s="150">
        <f t="shared" si="0"/>
        <v>0</v>
      </c>
      <c r="I9" s="199"/>
      <c r="J9" s="200"/>
      <c r="K9" s="201"/>
      <c r="R9" s="207"/>
    </row>
    <row r="10" spans="2:18" ht="18.95" customHeight="1">
      <c r="B10" s="210"/>
      <c r="C10" s="194"/>
      <c r="D10" s="147">
        <v>39</v>
      </c>
      <c r="E10" s="152" t="str">
        <f>'Tableau des Matches'!AM20</f>
        <v>CAP VERT</v>
      </c>
      <c r="F10" s="153">
        <f>'Tableau des Matches'!AO20</f>
        <v>0</v>
      </c>
      <c r="G10" s="153">
        <f>'Tableau des Matches'!AP20</f>
        <v>0</v>
      </c>
      <c r="H10" s="152">
        <f t="shared" si="0"/>
        <v>0</v>
      </c>
      <c r="I10" s="202"/>
      <c r="J10" s="203"/>
      <c r="K10" s="204"/>
      <c r="R10" s="207"/>
    </row>
    <row r="11" spans="2:18" ht="18.95" customHeight="1">
      <c r="B11" s="208" t="s">
        <v>85</v>
      </c>
      <c r="C11" s="192">
        <f>SUM(D11:D14)</f>
        <v>141</v>
      </c>
      <c r="D11" s="147">
        <v>37</v>
      </c>
      <c r="E11" s="149" t="str">
        <f>'Tableau des Matches'!AM25</f>
        <v>GHANA</v>
      </c>
      <c r="F11" s="149">
        <f>'Tableau des Matches'!AO25</f>
        <v>0</v>
      </c>
      <c r="G11" s="149">
        <f>'Tableau des Matches'!AP25</f>
        <v>0</v>
      </c>
      <c r="H11" s="148">
        <f t="shared" si="0"/>
        <v>0</v>
      </c>
      <c r="I11" s="196">
        <v>1</v>
      </c>
      <c r="J11" s="197"/>
      <c r="K11" s="198"/>
      <c r="R11" s="207"/>
    </row>
    <row r="12" spans="2:18" ht="18.95" customHeight="1">
      <c r="B12" s="209"/>
      <c r="C12" s="193"/>
      <c r="D12" s="147">
        <v>35</v>
      </c>
      <c r="E12" s="151" t="str">
        <f>'Tableau des Matches'!AM26</f>
        <v>SENEGAL</v>
      </c>
      <c r="F12" s="151">
        <f>'Tableau des Matches'!AO26</f>
        <v>0</v>
      </c>
      <c r="G12" s="151">
        <f>'Tableau des Matches'!AP26</f>
        <v>0</v>
      </c>
      <c r="H12" s="150">
        <f t="shared" si="0"/>
        <v>0</v>
      </c>
      <c r="I12" s="199"/>
      <c r="J12" s="200"/>
      <c r="K12" s="201"/>
      <c r="R12" s="207"/>
    </row>
    <row r="13" spans="2:18" ht="18.95" customHeight="1">
      <c r="B13" s="209"/>
      <c r="C13" s="193"/>
      <c r="D13" s="147">
        <v>18</v>
      </c>
      <c r="E13" s="151" t="str">
        <f>'Tableau des Matches'!AM27</f>
        <v>ALGERIE</v>
      </c>
      <c r="F13" s="151">
        <f>'Tableau des Matches'!AO27</f>
        <v>0</v>
      </c>
      <c r="G13" s="151">
        <f>'Tableau des Matches'!AP27</f>
        <v>0</v>
      </c>
      <c r="H13" s="150">
        <f t="shared" si="0"/>
        <v>0</v>
      </c>
      <c r="I13" s="199"/>
      <c r="J13" s="200"/>
      <c r="K13" s="201"/>
      <c r="R13" s="143"/>
    </row>
    <row r="14" spans="2:18" ht="18.95" customHeight="1">
      <c r="B14" s="210"/>
      <c r="C14" s="194"/>
      <c r="D14" s="147">
        <v>51</v>
      </c>
      <c r="E14" s="153" t="str">
        <f>'Tableau des Matches'!AM28</f>
        <v>AFRIQUE DE SUD</v>
      </c>
      <c r="F14" s="153">
        <f>'Tableau des Matches'!AO28</f>
        <v>0</v>
      </c>
      <c r="G14" s="153">
        <f>'Tableau des Matches'!AP28</f>
        <v>0</v>
      </c>
      <c r="H14" s="152">
        <f t="shared" si="0"/>
        <v>0</v>
      </c>
      <c r="I14" s="202"/>
      <c r="J14" s="203"/>
      <c r="K14" s="204"/>
      <c r="R14" s="144"/>
    </row>
    <row r="15" spans="2:18" ht="18.95" customHeight="1">
      <c r="B15" s="208" t="s">
        <v>86</v>
      </c>
      <c r="C15" s="192">
        <f>SUM(D15:D18)</f>
        <v>152</v>
      </c>
      <c r="D15" s="147">
        <v>24</v>
      </c>
      <c r="E15" s="149" t="str">
        <f>'Tableau des Matches'!AM33</f>
        <v>COTE D'IVOIR</v>
      </c>
      <c r="F15" s="149">
        <f>'Tableau des Matches'!AO33</f>
        <v>0</v>
      </c>
      <c r="G15" s="149">
        <f>'Tableau des Matches'!AP33</f>
        <v>0</v>
      </c>
      <c r="H15" s="148">
        <f t="shared" si="0"/>
        <v>0</v>
      </c>
      <c r="I15" s="196">
        <v>2</v>
      </c>
      <c r="J15" s="197"/>
      <c r="K15" s="198"/>
      <c r="R15" s="144"/>
    </row>
    <row r="16" spans="2:18" ht="18.95" customHeight="1">
      <c r="B16" s="209"/>
      <c r="C16" s="193"/>
      <c r="D16" s="147">
        <v>38</v>
      </c>
      <c r="E16" s="151" t="str">
        <f>'Tableau des Matches'!AM34</f>
        <v>GUINEA</v>
      </c>
      <c r="F16" s="151">
        <f>'Tableau des Matches'!AO34</f>
        <v>0</v>
      </c>
      <c r="G16" s="151">
        <f>'Tableau des Matches'!AP34</f>
        <v>0</v>
      </c>
      <c r="H16" s="150">
        <f t="shared" si="0"/>
        <v>0</v>
      </c>
      <c r="I16" s="199"/>
      <c r="J16" s="200"/>
      <c r="K16" s="201"/>
      <c r="R16" s="143"/>
    </row>
    <row r="17" spans="2:18" ht="18.95" customHeight="1">
      <c r="B17" s="209"/>
      <c r="C17" s="193"/>
      <c r="D17" s="147">
        <v>49</v>
      </c>
      <c r="E17" s="151" t="str">
        <f>'Tableau des Matches'!AM35</f>
        <v xml:space="preserve">MALI </v>
      </c>
      <c r="F17" s="151">
        <f>'Tableau des Matches'!AO35</f>
        <v>0</v>
      </c>
      <c r="G17" s="151">
        <f>'Tableau des Matches'!AP35</f>
        <v>0</v>
      </c>
      <c r="H17" s="150">
        <f t="shared" si="0"/>
        <v>0</v>
      </c>
      <c r="I17" s="199"/>
      <c r="J17" s="200"/>
      <c r="K17" s="201"/>
      <c r="R17" s="144"/>
    </row>
    <row r="18" spans="2:18" ht="18.95" customHeight="1">
      <c r="B18" s="210"/>
      <c r="C18" s="194"/>
      <c r="D18" s="147">
        <v>41</v>
      </c>
      <c r="E18" s="153" t="str">
        <f>'Tableau des Matches'!AM36</f>
        <v>CAMEROONE</v>
      </c>
      <c r="F18" s="153">
        <f>'Tableau des Matches'!AO36</f>
        <v>0</v>
      </c>
      <c r="G18" s="153">
        <f>'Tableau des Matches'!AP36</f>
        <v>0</v>
      </c>
      <c r="H18" s="152">
        <f t="shared" si="0"/>
        <v>0</v>
      </c>
      <c r="I18" s="202"/>
      <c r="J18" s="203"/>
      <c r="K18" s="204"/>
      <c r="R18" s="144"/>
    </row>
    <row r="19" spans="2:18" ht="18.95" customHeight="1">
      <c r="B19" s="191"/>
      <c r="C19" s="195"/>
      <c r="D19" s="145"/>
      <c r="E19" s="146"/>
      <c r="F19" s="146"/>
      <c r="G19" s="146"/>
      <c r="H19" s="146"/>
      <c r="R19" s="143"/>
    </row>
    <row r="20" spans="2:18" ht="18.95" customHeight="1">
      <c r="B20" s="191"/>
      <c r="C20" s="195"/>
      <c r="D20" s="145"/>
      <c r="E20" s="146"/>
      <c r="F20" s="146"/>
      <c r="G20" s="146"/>
      <c r="H20" s="146"/>
      <c r="R20" s="143"/>
    </row>
    <row r="21" spans="2:18" ht="18.95" customHeight="1">
      <c r="B21" s="191"/>
      <c r="C21" s="195"/>
      <c r="D21" s="145"/>
      <c r="E21" s="146"/>
      <c r="F21" s="146"/>
      <c r="G21" s="146"/>
      <c r="H21" s="146"/>
      <c r="R21" s="143"/>
    </row>
    <row r="22" spans="2:18" ht="18.95" customHeight="1">
      <c r="B22" s="191"/>
      <c r="C22" s="195"/>
      <c r="D22" s="145"/>
      <c r="E22" s="146"/>
      <c r="F22" s="146"/>
      <c r="G22" s="146"/>
      <c r="H22" s="146"/>
    </row>
    <row r="23" spans="2:18" ht="18.95" customHeight="1">
      <c r="B23" s="191"/>
      <c r="C23" s="195"/>
      <c r="D23" s="145"/>
      <c r="E23" s="146"/>
      <c r="F23" s="146"/>
      <c r="G23" s="146"/>
      <c r="H23" s="146"/>
    </row>
    <row r="24" spans="2:18" ht="18.95" customHeight="1">
      <c r="B24" s="191"/>
      <c r="C24" s="195"/>
      <c r="D24" s="145"/>
      <c r="E24" s="146"/>
      <c r="F24" s="146"/>
      <c r="G24" s="146"/>
      <c r="H24" s="146"/>
    </row>
    <row r="25" spans="2:18" ht="18.95" customHeight="1">
      <c r="B25" s="191"/>
      <c r="C25" s="195"/>
      <c r="D25" s="145"/>
      <c r="E25" s="146"/>
      <c r="F25" s="146"/>
      <c r="G25" s="146"/>
      <c r="H25" s="146"/>
    </row>
    <row r="26" spans="2:18" ht="18.95" customHeight="1">
      <c r="B26" s="191"/>
      <c r="C26" s="195"/>
      <c r="D26" s="145"/>
      <c r="E26" s="146"/>
      <c r="F26" s="146"/>
      <c r="G26" s="146"/>
      <c r="H26" s="146"/>
    </row>
    <row r="27" spans="2:18" ht="18.95" customHeight="1">
      <c r="B27" s="191"/>
      <c r="C27" s="195"/>
      <c r="D27" s="145"/>
      <c r="E27" s="146"/>
      <c r="F27" s="146"/>
      <c r="G27" s="146"/>
      <c r="H27" s="146"/>
    </row>
    <row r="28" spans="2:18" ht="18.95" customHeight="1">
      <c r="B28" s="191"/>
      <c r="C28" s="195"/>
      <c r="D28" s="145"/>
      <c r="E28" s="146"/>
      <c r="F28" s="146"/>
      <c r="G28" s="146"/>
      <c r="H28" s="146"/>
    </row>
    <row r="29" spans="2:18" ht="18.95" customHeight="1">
      <c r="B29" s="191"/>
      <c r="C29" s="195"/>
      <c r="D29" s="145"/>
      <c r="E29" s="146"/>
      <c r="F29" s="146"/>
      <c r="G29" s="146"/>
      <c r="H29" s="146"/>
    </row>
    <row r="30" spans="2:18" ht="18.95" customHeight="1">
      <c r="B30" s="191"/>
      <c r="C30" s="195"/>
      <c r="D30" s="145"/>
      <c r="E30" s="146"/>
      <c r="F30" s="146"/>
      <c r="G30" s="146"/>
      <c r="H30" s="146"/>
    </row>
    <row r="31" spans="2:18" ht="18.95" customHeight="1">
      <c r="B31" s="191"/>
      <c r="C31" s="195"/>
      <c r="D31" s="145"/>
      <c r="E31" s="146"/>
      <c r="F31" s="146"/>
      <c r="G31" s="146"/>
      <c r="H31" s="146"/>
    </row>
    <row r="32" spans="2:18" ht="18.95" customHeight="1">
      <c r="B32" s="191"/>
      <c r="C32" s="195"/>
      <c r="D32" s="145"/>
      <c r="E32" s="146"/>
      <c r="F32" s="146"/>
      <c r="G32" s="146"/>
      <c r="H32" s="146"/>
    </row>
    <row r="33" spans="2:8" ht="18.95" customHeight="1">
      <c r="B33" s="191"/>
      <c r="C33" s="195"/>
      <c r="D33" s="145"/>
      <c r="E33" s="146"/>
      <c r="F33" s="146"/>
      <c r="G33" s="146"/>
      <c r="H33" s="146"/>
    </row>
    <row r="34" spans="2:8" ht="18.95" customHeight="1">
      <c r="B34" s="191"/>
      <c r="C34" s="195"/>
      <c r="D34" s="145"/>
      <c r="E34" s="146"/>
      <c r="F34" s="146"/>
      <c r="G34" s="146"/>
      <c r="H34" s="146"/>
    </row>
    <row r="35" spans="2:8" s="1" customFormat="1" ht="18.95" customHeight="1"/>
    <row r="36" spans="2:8" s="1" customFormat="1" ht="18.95" customHeight="1"/>
    <row r="37" spans="2:8" s="1" customFormat="1" ht="18.95" customHeight="1"/>
    <row r="38" spans="2:8" s="1" customFormat="1" ht="12.4" customHeight="1"/>
    <row r="39" spans="2:8" s="1" customFormat="1" ht="12.4" customHeight="1"/>
    <row r="40" spans="2:8" s="1" customFormat="1" ht="12.4" customHeight="1"/>
    <row r="41" spans="2:8" s="1" customFormat="1"/>
    <row r="42" spans="2:8" s="1" customFormat="1"/>
    <row r="43" spans="2:8" s="1" customFormat="1"/>
    <row r="44" spans="2:8" s="1" customFormat="1"/>
    <row r="45" spans="2:8" s="1" customFormat="1"/>
    <row r="46" spans="2:8" s="1" customFormat="1"/>
    <row r="47" spans="2:8" s="1" customFormat="1"/>
    <row r="48" spans="2:8" s="1" customFormat="1"/>
    <row r="49" s="1" customFormat="1"/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1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1" s="1" customFormat="1"/>
    <row r="82" s="1" customFormat="1"/>
    <row r="83" s="1" customFormat="1"/>
  </sheetData>
  <mergeCells count="23">
    <mergeCell ref="I15:K18"/>
    <mergeCell ref="R2:R3"/>
    <mergeCell ref="R4:R12"/>
    <mergeCell ref="B3:B6"/>
    <mergeCell ref="B7:B10"/>
    <mergeCell ref="B11:B14"/>
    <mergeCell ref="C3:C6"/>
    <mergeCell ref="C7:C10"/>
    <mergeCell ref="C11:C14"/>
    <mergeCell ref="I2:K2"/>
    <mergeCell ref="I3:K6"/>
    <mergeCell ref="I7:K10"/>
    <mergeCell ref="I11:K14"/>
    <mergeCell ref="B15:B18"/>
    <mergeCell ref="B19:B22"/>
    <mergeCell ref="B23:B26"/>
    <mergeCell ref="B27:B30"/>
    <mergeCell ref="B31:B34"/>
    <mergeCell ref="C15:C18"/>
    <mergeCell ref="C19:C22"/>
    <mergeCell ref="C23:C26"/>
    <mergeCell ref="C27:C30"/>
    <mergeCell ref="C31:C34"/>
  </mergeCells>
  <conditionalFormatting sqref="F3:F34">
    <cfRule type="dataBar" priority="4">
      <dataBar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{E0CE1551-0952-4118-B6D3-446DFA53320D}</x14:id>
        </ext>
      </extLst>
    </cfRule>
  </conditionalFormatting>
  <conditionalFormatting sqref="G3:G34">
    <cfRule type="dataBar" priority="3">
      <dataBar>
        <cfvo type="min" val="0"/>
        <cfvo type="max" val="0"/>
        <color rgb="FFFF555A"/>
      </dataBar>
      <extLst>
        <ext xmlns:x14="http://schemas.microsoft.com/office/spreadsheetml/2009/9/main" uri="{B025F937-C7B1-47D3-B67F-A62EFF666E3E}">
          <x14:id>{C4FFD2D9-E3D8-47F5-AEC3-A185210E7E1A}</x14:id>
        </ext>
      </extLst>
    </cfRule>
  </conditionalFormatting>
  <conditionalFormatting sqref="H3:H34">
    <cfRule type="dataBar" priority="2">
      <dataBar>
        <cfvo type="min" val="0"/>
        <cfvo type="max" val="0"/>
        <color rgb="FF63C384"/>
      </dataBar>
      <extLst>
        <ext xmlns:x14="http://schemas.microsoft.com/office/spreadsheetml/2009/9/main" uri="{B025F937-C7B1-47D3-B67F-A62EFF666E3E}">
          <x14:id>{8DB6F77D-2D49-4984-AA3A-C2DB78925061}</x14:id>
        </ext>
      </extLst>
    </cfRule>
  </conditionalFormatting>
  <conditionalFormatting sqref="C3:C34">
    <cfRule type="colorScale" priority="1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  <pageSetup paperSize="9" orientation="portrait" horizontalDpi="300" verticalDpi="300" r:id="rId1"/>
  <ignoredErrors>
    <ignoredError sqref="C3:C18" formulaRange="1"/>
  </ignoredError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E0CE1551-0952-4118-B6D3-446DFA53320D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F3:F34</xm:sqref>
        </x14:conditionalFormatting>
        <x14:conditionalFormatting xmlns:xm="http://schemas.microsoft.com/office/excel/2006/main">
          <x14:cfRule type="dataBar" id="{C4FFD2D9-E3D8-47F5-AEC3-A185210E7E1A}">
            <x14:dataBar minLength="0" maxLength="100" border="1" negativeBarBorderColorSameAsPositive="0">
              <x14:cfvo type="autoMin"/>
              <x14:cfvo type="autoMax"/>
              <x14:borderColor rgb="FFFF555A"/>
              <x14:negativeFillColor rgb="FFFF0000"/>
              <x14:negativeBorderColor rgb="FFFF0000"/>
              <x14:axisColor rgb="FF000000"/>
            </x14:dataBar>
          </x14:cfRule>
          <xm:sqref>G3:G34</xm:sqref>
        </x14:conditionalFormatting>
        <x14:conditionalFormatting xmlns:xm="http://schemas.microsoft.com/office/excel/2006/main">
          <x14:cfRule type="dataBar" id="{8DB6F77D-2D49-4984-AA3A-C2DB78925061}">
            <x14:dataBar minLength="0" maxLength="100" border="1" negativeBarBorderColorSameAsPositive="0">
              <x14:cfvo type="autoMin"/>
              <x14:cfvo type="autoMax"/>
              <x14:borderColor rgb="FF63C384"/>
              <x14:negativeFillColor rgb="FFFF0000"/>
              <x14:negativeBorderColor rgb="FFFF0000"/>
              <x14:axisColor rgb="FF000000"/>
            </x14:dataBar>
          </x14:cfRule>
          <xm:sqref>H3:H34</xm:sqref>
        </x14:conditionalFormatting>
      </x14:conditionalFormattings>
    </ext>
    <ext xmlns:x15="http://schemas.microsoft.com/office/spreadsheetml/2010/11/main" uri="{F7C9EE02-42E1-4005-9D12-6889AFFD525C}">
      <x15:webExtensions xmlns:xm="http://schemas.microsoft.com/office/excel/2006/main">
        <x15:webExtension appRef="{C87FD463-937E-4078-9C43-DCC343D3CD1B}">
          <xm:f>'Carte des Buts'!$E$2:$G$34</xm:f>
        </x15:webExtension>
      </x15:webExtens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7D53CEC4811354EAB4089BB724B0AE9" ma:contentTypeVersion="1" ma:contentTypeDescription="Create a new document." ma:contentTypeScope="" ma:versionID="2f10638d33a8890528449eddb06ce74c">
  <xsd:schema xmlns:xsd="http://www.w3.org/2001/XMLSchema" xmlns:xs="http://www.w3.org/2001/XMLSchema" xmlns:p="http://schemas.microsoft.com/office/2006/metadata/properties" xmlns:ns3="6e9b4a02-ee0b-4ad8-9842-81a795ff0748" targetNamespace="http://schemas.microsoft.com/office/2006/metadata/properties" ma:root="true" ma:fieldsID="57e884de5fd90bf06a46abac43dede54" ns3:_="">
    <xsd:import namespace="6e9b4a02-ee0b-4ad8-9842-81a795ff0748"/>
    <xsd:element name="properties">
      <xsd:complexType>
        <xsd:sequence>
          <xsd:element name="documentManagement">
            <xsd:complexType>
              <xsd:all>
                <xsd:element ref="ns3:SharedWithUser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9b4a02-ee0b-4ad8-9842-81a795ff0748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outs:outSpaceData xmlns:outs="http://schemas.microsoft.com/office/2009/outspace/metadata">
  <outs:relatedDates>
    <outs:relatedDate>
      <outs:type>3</outs:type>
      <outs:displayName>Last Modified</outs:displayName>
      <outs:dateTime>2009-10-11T18:56:16Z</outs:dateTime>
      <outs:isPinned>true</outs:isPinned>
    </outs:relatedDate>
    <outs:relatedDate>
      <outs:type>2</outs:type>
      <outs:displayName>Created</outs:displayName>
      <outs:dateTime>2002-03-22T16:01:46Z</outs:dateTime>
      <outs:isPinned>true</outs:isPinned>
    </outs:relatedDate>
    <outs:relatedDate>
      <outs:type>4</outs:type>
      <outs:displayName>Last Printed</outs:displayName>
      <outs:dateTime>2006-06-20T04:29:08Z</outs:dateTime>
      <outs:isPinned>true</outs:isPinned>
    </outs:relatedDate>
  </outs:relatedDates>
  <outs:relatedDocuments>
    <outs:relatedDocument>
      <outs:type>2</outs:type>
      <outs:displayName>Other documents in current folder</outs:displayName>
      <outs:uri/>
      <outs:isPinned>true</outs:isPinned>
    </outs:relatedDocument>
  </outs:relatedDocuments>
  <outs:relatedPeople>
    <outs:relatedPeopleItem>
      <outs:category>Author</outs:category>
      <outs:people>
        <outs:relatedPerson>
          <outs:displayName>XaMaLa</outs:displayName>
          <outs:accountName/>
        </outs:relatedPerson>
      </outs:people>
      <outs:source>0</outs:source>
      <outs:isPinned>true</outs:isPinned>
    </outs:relatedPeopleItem>
    <outs:relatedPeopleItem>
      <outs:category>Last modified by</outs:category>
      <outs:people>
        <outs:relatedPerson>
          <outs:displayName>franckha</outs:displayName>
          <outs:accountName/>
        </outs:relatedPerson>
      </outs:people>
      <outs:source>0</outs:source>
      <outs:isPinned>true</outs:isPinned>
    </outs:relatedPeopleItem>
    <outs:relatedPeopleItem>
      <outs:category>Manager</outs:category>
      <outs:people/>
      <outs:source>0</outs:source>
      <outs:isPinned>false</outs:isPinned>
    </outs:relatedPeopleItem>
  </outs:relatedPeople>
  <propertyMetadataList xmlns="http://schemas.microsoft.com/office/2009/outspace/metadata">
    <propertyMetadata>
      <type>0</type>
      <propertyId>2228224</propertyId>
      <propertyName/>
      <isPinned>true</isPinned>
    </propertyMetadata>
    <propertyMetadata>
      <type>0</type>
      <propertyId>14</propertyId>
      <propertyName/>
      <isPinned>true</isPinned>
    </propertyMetadata>
    <propertyMetadata>
      <type>0</type>
      <propertyId>8</propertyId>
      <propertyName/>
      <isPinned>true</isPinned>
    </propertyMetadata>
    <propertyMetadata>
      <type>0</type>
      <propertyId>6</propertyId>
      <propertyName/>
      <isPinned>false</isPinned>
    </propertyMetadata>
    <propertyMetadata>
      <type>0</type>
      <propertyId>655365</propertyId>
      <propertyName/>
      <isPinned>false</isPinned>
    </propertyMetadata>
    <propertyMetadata>
      <type>0</type>
      <propertyId>1</propertyId>
      <propertyName/>
      <isPinned>false</isPinned>
    </propertyMetadata>
    <propertyMetadata>
      <type>0</type>
      <propertyId>0</propertyId>
      <propertyName/>
      <isPinned>true</isPinned>
    </propertyMetadata>
    <propertyMetadata>
      <type>0</type>
      <propertyId>13</propertyId>
      <propertyName/>
      <isPinned>false</isPinned>
    </propertyMetadata>
    <propertyMetadata>
      <type>0</type>
      <propertyId>1179653</propertyId>
      <propertyName/>
      <isPinned>false</isPinned>
    </propertyMetadata>
    <propertyMetadata>
      <type>0</type>
      <propertyId>22</propertyId>
      <propertyName/>
      <isPinned>false</isPinned>
    </propertyMetadata>
  </propertyMetadataList>
  <outs:corruptMetadataWasLost/>
</outs:outSpaceDat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5CF4A2AB-F1A7-4C06-BC91-74D347B4D9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e9b4a02-ee0b-4ad8-9842-81a795ff074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8D14C11E-F36A-4CB3-BD28-4B060C18DA9C}">
  <ds:schemaRefs>
    <ds:schemaRef ds:uri="http://schemas.microsoft.com/office/2009/outspace/metadata"/>
  </ds:schemaRefs>
</ds:datastoreItem>
</file>

<file path=customXml/itemProps3.xml><?xml version="1.0" encoding="utf-8"?>
<ds:datastoreItem xmlns:ds="http://schemas.openxmlformats.org/officeDocument/2006/customXml" ds:itemID="{A4D11DDB-9F04-4F6E-AD37-B5631F46867A}">
  <ds:schemaRefs>
    <ds:schemaRef ds:uri="http://schemas.openxmlformats.org/package/2006/metadata/core-properties"/>
    <ds:schemaRef ds:uri="http://www.w3.org/XML/1998/namespace"/>
    <ds:schemaRef ds:uri="http://purl.org/dc/elements/1.1/"/>
    <ds:schemaRef ds:uri="http://schemas.microsoft.com/office/2006/metadata/properties"/>
    <ds:schemaRef ds:uri="http://purl.org/dc/terms/"/>
    <ds:schemaRef ds:uri="http://schemas.microsoft.com/office/2006/documentManagement/types"/>
    <ds:schemaRef ds:uri="http://schemas.microsoft.com/office/infopath/2007/PartnerControls"/>
    <ds:schemaRef ds:uri="6e9b4a02-ee0b-4ad8-9842-81a795ff0748"/>
    <ds:schemaRef ds:uri="http://purl.org/dc/dcmitype/"/>
  </ds:schemaRefs>
</ds:datastoreItem>
</file>

<file path=customXml/itemProps4.xml><?xml version="1.0" encoding="utf-8"?>
<ds:datastoreItem xmlns:ds="http://schemas.openxmlformats.org/officeDocument/2006/customXml" ds:itemID="{36E95F1E-BB97-4450-974C-B427C08CB30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Tableau des Matches</vt:lpstr>
      <vt:lpstr>Carte des Buts</vt:lpstr>
      <vt:lpstr>'Tableau des Matches'!Zone_d_impression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XaMaLa</dc:creator>
  <cp:lastModifiedBy>BERKANI</cp:lastModifiedBy>
  <dcterms:created xsi:type="dcterms:W3CDTF">2002-03-22T16:01:46Z</dcterms:created>
  <dcterms:modified xsi:type="dcterms:W3CDTF">2014-12-20T16:03:34Z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0x010100D7D53CEC4811354EAB4089BB724B0AE9</vt:lpwstr>
  </property>
  <property fmtid="{D5CDD505-2E9C-101B-9397-08002B2CF9AE}" pid="3" name="IsMyDocuments">
    <vt:bool>true</vt:bool>
  </property>
  <property fmtid="{D5CDD505-2E9C-101B-9397-08002B2CF9AE}" pid="4" name="DocVizMetadataToken">
    <vt:lpwstr>300x156x2</vt:lpwstr>
  </property>
</Properties>
</file>