
<file path=[Content_Types].xml><?xml version="1.0" encoding="utf-8"?>
<Types xmlns="http://schemas.openxmlformats.org/package/2006/content-types">
  <Override PartName="/xl/worksheets/sheet35.xml" ContentType="application/vnd.openxmlformats-officedocument.spreadsheetml.worksheet+xml"/>
  <Override PartName="/xl/queryTables/queryTable139.xml" ContentType="application/vnd.openxmlformats-officedocument.spreadsheetml.queryTable+xml"/>
  <Override PartName="/xl/queryTables/queryTable186.xml" ContentType="application/vnd.openxmlformats-officedocument.spreadsheetml.queryTable+xml"/>
  <Override PartName="/xl/worksheets/sheet13.xml" ContentType="application/vnd.openxmlformats-officedocument.spreadsheetml.worksheet+xml"/>
  <Override PartName="/xl/styles.xml" ContentType="application/vnd.openxmlformats-officedocument.spreadsheetml.styles+xml"/>
  <Override PartName="/xl/queryTables/queryTable48.xml" ContentType="application/vnd.openxmlformats-officedocument.spreadsheetml.queryTable+xml"/>
  <Override PartName="/xl/queryTables/queryTable95.xml" ContentType="application/vnd.openxmlformats-officedocument.spreadsheetml.queryTable+xml"/>
  <Override PartName="/xl/drawings/drawing39.xml" ContentType="application/vnd.openxmlformats-officedocument.drawing+xml"/>
  <Override PartName="/xl/queryTables/queryTable26.xml" ContentType="application/vnd.openxmlformats-officedocument.spreadsheetml.queryTable+xml"/>
  <Override PartName="/xl/queryTables/queryTable73.xml" ContentType="application/vnd.openxmlformats-officedocument.spreadsheetml.queryTable+xml"/>
  <Override PartName="/xl/queryTables/queryTable117.xml" ContentType="application/vnd.openxmlformats-officedocument.spreadsheetml.queryTable+xml"/>
  <Override PartName="/xl/queryTables/queryTable164.xml" ContentType="application/vnd.openxmlformats-officedocument.spreadsheetml.queryTable+xml"/>
  <Override PartName="/xl/queryTables/queryTable303.xml" ContentType="application/vnd.openxmlformats-officedocument.spreadsheetml.queryTable+xml"/>
  <Override PartName="/xl/drawings/drawing17.xml" ContentType="application/vnd.openxmlformats-officedocument.drawing+xml"/>
  <Default Extension="xml" ContentType="application/xml"/>
  <Override PartName="/xl/queryTables/queryTable142.xml" ContentType="application/vnd.openxmlformats-officedocument.spreadsheetml.queryTable+xml"/>
  <Override PartName="/xl/queryTables/queryTable287.xml" ContentType="application/vnd.openxmlformats-officedocument.spreadsheetml.queryTable+xml"/>
  <Override PartName="/xl/queryTables/queryTable51.xml" ContentType="application/vnd.openxmlformats-officedocument.spreadsheetml.queryTable+xml"/>
  <Override PartName="/xl/queryTables/queryTable218.xml" ContentType="application/vnd.openxmlformats-officedocument.spreadsheetml.queryTable+xml"/>
  <Override PartName="/xl/queryTables/queryTable265.xml" ContentType="application/vnd.openxmlformats-officedocument.spreadsheetml.queryTable+xml"/>
  <Override PartName="/xl/queryTables/queryTable8.xml" ContentType="application/vnd.openxmlformats-officedocument.spreadsheetml.queryTable+xml"/>
  <Override PartName="/xl/queryTables/queryTable120.xml" ContentType="application/vnd.openxmlformats-officedocument.spreadsheetml.queryTable+xml"/>
  <Override PartName="/xl/queryTables/queryTable207.xml" ContentType="application/vnd.openxmlformats-officedocument.spreadsheetml.queryTable+xml"/>
  <Override PartName="/xl/queryTables/queryTable254.xml" ContentType="application/vnd.openxmlformats-officedocument.spreadsheetml.queryTable+xml"/>
  <Override PartName="/xl/drawings/drawing20.xml" ContentType="application/vnd.openxmlformats-officedocument.drawing+xml"/>
  <Override PartName="/xl/drawings/drawing31.xml" ContentType="application/vnd.openxmlformats-officedocument.drawing+xml"/>
  <Override PartName="/xl/worksheets/sheet29.xml" ContentType="application/vnd.openxmlformats-officedocument.spreadsheetml.worksheet+xml"/>
  <Override PartName="/xl/queryTables/queryTable232.xml" ContentType="application/vnd.openxmlformats-officedocument.spreadsheetml.queryTable+xml"/>
  <Override PartName="/xl/queryTables/queryTable243.xml" ContentType="application/vnd.openxmlformats-officedocument.spreadsheetml.queryTable+xml"/>
  <Override PartName="/xl/queryTables/queryTable290.xml" ContentType="application/vnd.openxmlformats-officedocument.spreadsheetml.queryTable+xml"/>
  <Override PartName="/xl/worksheets/sheet18.xml" ContentType="application/vnd.openxmlformats-officedocument.spreadsheetml.worksheet+xml"/>
  <Override PartName="/xl/queryTables/queryTable89.xml" ContentType="application/vnd.openxmlformats-officedocument.spreadsheetml.queryTable+xml"/>
  <Override PartName="/xl/queryTables/queryTable169.xml" ContentType="application/vnd.openxmlformats-officedocument.spreadsheetml.queryTable+xml"/>
  <Override PartName="/xl/queryTables/queryTable221.xml" ContentType="application/vnd.openxmlformats-officedocument.spreadsheetml.queryTable+xml"/>
  <Default Extension="png" ContentType="image/png"/>
  <Override PartName="/xl/queryTables/queryTable67.xml" ContentType="application/vnd.openxmlformats-officedocument.spreadsheetml.queryTable+xml"/>
  <Override PartName="/xl/queryTables/queryTable78.xml" ContentType="application/vnd.openxmlformats-officedocument.spreadsheetml.queryTable+xml"/>
  <Override PartName="/xl/queryTables/queryTable158.xml" ContentType="application/vnd.openxmlformats-officedocument.spreadsheetml.queryTable+xml"/>
  <Override PartName="/xl/queryTables/queryTable210.xml" ContentType="application/vnd.openxmlformats-officedocument.spreadsheetml.queryTable+xml"/>
  <Override PartName="/xl/worksheets/sheet32.xml" ContentType="application/vnd.openxmlformats-officedocument.spreadsheetml.worksheet+xml"/>
  <Override PartName="/xl/drawings/drawing7.xml" ContentType="application/vnd.openxmlformats-officedocument.drawing+xml"/>
  <Override PartName="/xl/activeX/activeX1.bin" ContentType="application/vnd.ms-office.activeX"/>
  <Override PartName="/xl/queryTables/queryTable56.xml" ContentType="application/vnd.openxmlformats-officedocument.spreadsheetml.queryTable+xml"/>
  <Override PartName="/xl/queryTables/queryTable136.xml" ContentType="application/vnd.openxmlformats-officedocument.spreadsheetml.queryTable+xml"/>
  <Override PartName="/xl/queryTables/queryTable147.xml" ContentType="application/vnd.openxmlformats-officedocument.spreadsheetml.queryTable+xml"/>
  <Override PartName="/xl/queryTables/queryTable183.xml" ContentType="application/vnd.openxmlformats-officedocument.spreadsheetml.queryTable+xml"/>
  <Override PartName="/xl/queryTables/queryTable194.xml" ContentType="application/vnd.openxmlformats-officedocument.spreadsheetml.queryTable+xml"/>
  <Override PartName="/xl/worksheets/sheet8.xml" ContentType="application/vnd.openxmlformats-officedocument.spreadsheetml.worksheet+xml"/>
  <Override PartName="/xl/worksheets/sheet21.xml" ContentType="application/vnd.openxmlformats-officedocument.spreadsheetml.worksheet+xml"/>
  <Default Extension="emf" ContentType="image/x-emf"/>
  <Override PartName="/xl/queryTables/queryTable45.xml" ContentType="application/vnd.openxmlformats-officedocument.spreadsheetml.queryTable+xml"/>
  <Override PartName="/xl/queryTables/queryTable92.xml" ContentType="application/vnd.openxmlformats-officedocument.spreadsheetml.queryTable+xml"/>
  <Override PartName="/xl/queryTables/queryTable125.xml" ContentType="application/vnd.openxmlformats-officedocument.spreadsheetml.queryTable+xml"/>
  <Override PartName="/xl/queryTables/queryTable172.xml" ContentType="application/vnd.openxmlformats-officedocument.spreadsheetml.queryTable+xml"/>
  <Override PartName="/xl/drawings/drawing36.xml" ContentType="application/vnd.openxmlformats-officedocument.drawing+xml"/>
  <Override PartName="/xl/worksheets/sheet10.xml" ContentType="application/vnd.openxmlformats-officedocument.spreadsheetml.worksheet+xml"/>
  <Override PartName="/xl/queryTables/queryTable34.xml" ContentType="application/vnd.openxmlformats-officedocument.spreadsheetml.queryTable+xml"/>
  <Override PartName="/xl/queryTables/queryTable81.xml" ContentType="application/vnd.openxmlformats-officedocument.spreadsheetml.queryTable+xml"/>
  <Override PartName="/xl/queryTables/queryTable114.xml" ContentType="application/vnd.openxmlformats-officedocument.spreadsheetml.queryTable+xml"/>
  <Override PartName="/xl/queryTables/queryTable161.xml" ContentType="application/vnd.openxmlformats-officedocument.spreadsheetml.queryTable+xml"/>
  <Override PartName="/xl/queryTables/queryTable248.xml" ContentType="application/vnd.openxmlformats-officedocument.spreadsheetml.queryTable+xml"/>
  <Override PartName="/xl/queryTables/queryTable259.xml" ContentType="application/vnd.openxmlformats-officedocument.spreadsheetml.queryTable+xml"/>
  <Override PartName="/xl/queryTables/queryTable295.xml" ContentType="application/vnd.openxmlformats-officedocument.spreadsheetml.queryTable+xml"/>
  <Override PartName="/xl/queryTables/queryTable300.xml" ContentType="application/vnd.openxmlformats-officedocument.spreadsheetml.queryTable+xml"/>
  <Override PartName="/xl/drawings/drawing25.xml" ContentType="application/vnd.openxmlformats-officedocument.drawing+xml"/>
  <Override PartName="/docProps/app.xml" ContentType="application/vnd.openxmlformats-officedocument.extended-properties+xml"/>
  <Override PartName="/xl/queryTables/queryTable12.xml" ContentType="application/vnd.openxmlformats-officedocument.spreadsheetml.queryTable+xml"/>
  <Override PartName="/xl/queryTables/queryTable23.xml" ContentType="application/vnd.openxmlformats-officedocument.spreadsheetml.queryTable+xml"/>
  <Override PartName="/xl/queryTables/queryTable70.xml" ContentType="application/vnd.openxmlformats-officedocument.spreadsheetml.queryTable+xml"/>
  <Override PartName="/xl/queryTables/queryTable103.xml" ContentType="application/vnd.openxmlformats-officedocument.spreadsheetml.queryTable+xml"/>
  <Override PartName="/xl/queryTables/queryTable150.xml" ContentType="application/vnd.openxmlformats-officedocument.spreadsheetml.queryTable+xml"/>
  <Override PartName="/xl/queryTables/queryTable237.xml" ContentType="application/vnd.openxmlformats-officedocument.spreadsheetml.queryTable+xml"/>
  <Override PartName="/xl/queryTables/queryTable284.xml" ContentType="application/vnd.openxmlformats-officedocument.spreadsheetml.queryTable+xml"/>
  <Override PartName="/xl/drawings/drawing14.xml" ContentType="application/vnd.openxmlformats-officedocument.drawing+xml"/>
  <Override PartName="/xl/queryTables/queryTable226.xml" ContentType="application/vnd.openxmlformats-officedocument.spreadsheetml.queryTable+xml"/>
  <Override PartName="/xl/queryTables/queryTable273.xml" ContentType="application/vnd.openxmlformats-officedocument.spreadsheetml.queryTable+xml"/>
  <Override PartName="/xl/calcChain.xml" ContentType="application/vnd.openxmlformats-officedocument.spreadsheetml.calcChain+xml"/>
  <Override PartName="/xl/queryTables/queryTable5.xml" ContentType="application/vnd.openxmlformats-officedocument.spreadsheetml.queryTable+xml"/>
  <Override PartName="/xl/queryTables/queryTable199.xml" ContentType="application/vnd.openxmlformats-officedocument.spreadsheetml.queryTable+xml"/>
  <Override PartName="/xl/queryTables/queryTable204.xml" ContentType="application/vnd.openxmlformats-officedocument.spreadsheetml.queryTable+xml"/>
  <Override PartName="/xl/queryTables/queryTable215.xml" ContentType="application/vnd.openxmlformats-officedocument.spreadsheetml.queryTable+xml"/>
  <Override PartName="/xl/queryTables/queryTable251.xml" ContentType="application/vnd.openxmlformats-officedocument.spreadsheetml.queryTable+xml"/>
  <Override PartName="/xl/queryTables/queryTable262.xml" ContentType="application/vnd.openxmlformats-officedocument.spreadsheetml.queryTable+xml"/>
  <Override PartName="/xl/worksheets/sheet26.xml" ContentType="application/vnd.openxmlformats-officedocument.spreadsheetml.worksheet+xml"/>
  <Override PartName="/xl/worksheets/sheet37.xml" ContentType="application/vnd.openxmlformats-officedocument.spreadsheetml.worksheet+xml"/>
  <Override PartName="/xl/queryTables/queryTable188.xml" ContentType="application/vnd.openxmlformats-officedocument.spreadsheetml.queryTable+xml"/>
  <Override PartName="/xl/queryTables/queryTable240.xml" ContentType="application/vnd.openxmlformats-officedocument.spreadsheetml.queryTable+xml"/>
  <Override PartName="/xl/worksheets/sheet15.xml" ContentType="application/vnd.openxmlformats-officedocument.spreadsheetml.worksheet+xml"/>
  <Override PartName="/xl/queryTables/queryTable39.xml" ContentType="application/vnd.openxmlformats-officedocument.spreadsheetml.queryTable+xml"/>
  <Override PartName="/xl/queryTables/queryTable86.xml" ContentType="application/vnd.openxmlformats-officedocument.spreadsheetml.queryTable+xml"/>
  <Override PartName="/xl/queryTables/queryTable97.xml" ContentType="application/vnd.openxmlformats-officedocument.spreadsheetml.queryTable+xml"/>
  <Override PartName="/xl/queryTables/queryTable177.xml" ContentType="application/vnd.openxmlformats-officedocument.spreadsheetml.queryTable+xml"/>
  <Override PartName="/xl/queryTables/queryTable28.xml" ContentType="application/vnd.openxmlformats-officedocument.spreadsheetml.queryTable+xml"/>
  <Override PartName="/xl/queryTables/queryTable75.xml" ContentType="application/vnd.openxmlformats-officedocument.spreadsheetml.queryTable+xml"/>
  <Override PartName="/xl/queryTables/queryTable108.xml" ContentType="application/vnd.openxmlformats-officedocument.spreadsheetml.queryTable+xml"/>
  <Override PartName="/xl/queryTables/queryTable119.xml" ContentType="application/vnd.openxmlformats-officedocument.spreadsheetml.queryTable+xml"/>
  <Override PartName="/xl/queryTables/queryTable155.xml" ContentType="application/vnd.openxmlformats-officedocument.spreadsheetml.queryTable+xml"/>
  <Override PartName="/xl/queryTables/queryTable166.xml" ContentType="application/vnd.openxmlformats-officedocument.spreadsheetml.queryTable+xml"/>
  <Override PartName="/xl/queryTables/queryTable305.xml" ContentType="application/vnd.openxmlformats-officedocument.spreadsheetml.queryTable+xml"/>
  <Override PartName="/xl/drawings/drawing19.xml" ContentType="application/vnd.openxmlformats-officedocument.drawing+xml"/>
  <Override PartName="/xl/worksheets/sheet40.xml" ContentType="application/vnd.openxmlformats-officedocument.spreadsheetml.worksheet+xml"/>
  <Override PartName="/xl/drawings/drawing4.xml" ContentType="application/vnd.openxmlformats-officedocument.drawing+xml"/>
  <Override PartName="/xl/queryTables/queryTable17.xml" ContentType="application/vnd.openxmlformats-officedocument.spreadsheetml.queryTable+xml"/>
  <Override PartName="/xl/queryTables/queryTable64.xml" ContentType="application/vnd.openxmlformats-officedocument.spreadsheetml.queryTable+xml"/>
  <Override PartName="/xl/queryTables/queryTable144.xml" ContentType="application/vnd.openxmlformats-officedocument.spreadsheetml.queryTable+xml"/>
  <Override PartName="/xl/queryTables/queryTable191.xml" ContentType="application/vnd.openxmlformats-officedocument.spreadsheetml.queryTable+xml"/>
  <Override PartName="/xl/queryTables/queryTable278.xml" ContentType="application/vnd.openxmlformats-officedocument.spreadsheetml.queryTable+xml"/>
  <Override PartName="/xl/queryTables/queryTable289.xml" ContentType="application/vnd.openxmlformats-officedocument.spreadsheetml.queryTable+xml"/>
  <Default Extension="wmf" ContentType="image/x-wmf"/>
  <Override PartName="/xl/worksheets/sheet5.xml" ContentType="application/vnd.openxmlformats-officedocument.spreadsheetml.worksheet+xml"/>
  <Override PartName="/xl/queryTables/queryTable42.xml" ContentType="application/vnd.openxmlformats-officedocument.spreadsheetml.queryTable+xml"/>
  <Override PartName="/xl/queryTables/queryTable53.xml" ContentType="application/vnd.openxmlformats-officedocument.spreadsheetml.queryTable+xml"/>
  <Override PartName="/xl/queryTables/queryTable133.xml" ContentType="application/vnd.openxmlformats-officedocument.spreadsheetml.queryTable+xml"/>
  <Override PartName="/xl/queryTables/queryTable180.xml" ContentType="application/vnd.openxmlformats-officedocument.spreadsheetml.queryTable+xml"/>
  <Override PartName="/xl/queryTables/queryTable267.xml" ContentType="application/vnd.openxmlformats-officedocument.spreadsheetml.queryTable+xml"/>
  <Override PartName="/xl/connections.xml" ContentType="application/vnd.openxmlformats-officedocument.spreadsheetml.connections+xml"/>
  <Override PartName="/xl/queryTables/queryTable31.xml" ContentType="application/vnd.openxmlformats-officedocument.spreadsheetml.queryTable+xml"/>
  <Override PartName="/xl/queryTables/queryTable111.xml" ContentType="application/vnd.openxmlformats-officedocument.spreadsheetml.queryTable+xml"/>
  <Override PartName="/xl/queryTables/queryTable122.xml" ContentType="application/vnd.openxmlformats-officedocument.spreadsheetml.queryTable+xml"/>
  <Override PartName="/xl/queryTables/queryTable209.xml" ContentType="application/vnd.openxmlformats-officedocument.spreadsheetml.queryTable+xml"/>
  <Override PartName="/xl/queryTables/queryTable256.xml" ContentType="application/vnd.openxmlformats-officedocument.spreadsheetml.queryTable+xml"/>
  <Override PartName="/xl/comments2.xml" ContentType="application/vnd.openxmlformats-officedocument.spreadsheetml.comments+xml"/>
  <Override PartName="/xl/drawings/drawing22.xml" ContentType="application/vnd.openxmlformats-officedocument.drawing+xml"/>
  <Override PartName="/xl/drawings/drawing33.xml" ContentType="application/vnd.openxmlformats-officedocument.drawing+xml"/>
  <Override PartName="/xl/queryTables/queryTable20.xml" ContentType="application/vnd.openxmlformats-officedocument.spreadsheetml.queryTable+xml"/>
  <Override PartName="/xl/queryTables/queryTable100.xml" ContentType="application/vnd.openxmlformats-officedocument.spreadsheetml.queryTable+xml"/>
  <Override PartName="/xl/queryTables/queryTable245.xml" ContentType="application/vnd.openxmlformats-officedocument.spreadsheetml.queryTable+xml"/>
  <Override PartName="/xl/queryTables/queryTable292.xml" ContentType="application/vnd.openxmlformats-officedocument.spreadsheetml.queryTable+xml"/>
  <Override PartName="/xl/drawings/drawing11.xml" ContentType="application/vnd.openxmlformats-officedocument.drawing+xml"/>
  <Override PartName="/xl/queryTables/queryTable223.xml" ContentType="application/vnd.openxmlformats-officedocument.spreadsheetml.queryTable+xml"/>
  <Override PartName="/xl/queryTables/queryTable234.xml" ContentType="application/vnd.openxmlformats-officedocument.spreadsheetml.queryTable+xml"/>
  <Override PartName="/xl/queryTables/queryTable270.xml" ContentType="application/vnd.openxmlformats-officedocument.spreadsheetml.queryTable+xml"/>
  <Override PartName="/xl/queryTables/queryTable281.xml" ContentType="application/vnd.openxmlformats-officedocument.spreadsheetml.queryTable+xml"/>
  <Override PartName="/xl/queryTables/queryTable69.xml" ContentType="application/vnd.openxmlformats-officedocument.spreadsheetml.queryTable+xml"/>
  <Override PartName="/xl/queryTables/queryTable212.xml" ContentType="application/vnd.openxmlformats-officedocument.spreadsheetml.queryTable+xml"/>
  <Override PartName="/xl/worksheets/sheet34.xml" ContentType="application/vnd.openxmlformats-officedocument.spreadsheetml.worksheet+xml"/>
  <Override PartName="/xl/queryTables/queryTable2.xml" ContentType="application/vnd.openxmlformats-officedocument.spreadsheetml.queryTable+xml"/>
  <Override PartName="/xl/queryTables/queryTable58.xml" ContentType="application/vnd.openxmlformats-officedocument.spreadsheetml.queryTable+xml"/>
  <Override PartName="/xl/queryTables/queryTable138.xml" ContentType="application/vnd.openxmlformats-officedocument.spreadsheetml.queryTable+xml"/>
  <Override PartName="/xl/queryTables/queryTable149.xml" ContentType="application/vnd.openxmlformats-officedocument.spreadsheetml.queryTable+xml"/>
  <Override PartName="/xl/queryTables/queryTable185.xml" ContentType="application/vnd.openxmlformats-officedocument.spreadsheetml.queryTable+xml"/>
  <Override PartName="/xl/queryTables/queryTable196.xml" ContentType="application/vnd.openxmlformats-officedocument.spreadsheetml.queryTable+xml"/>
  <Override PartName="/xl/queryTables/queryTable201.xml" ContentType="application/vnd.openxmlformats-officedocument.spreadsheetml.queryTable+xml"/>
  <Override PartName="/xl/drawings/drawing9.xml" ContentType="application/vnd.openxmlformats-officedocument.drawing+xml"/>
  <Override PartName="/xl/worksheets/sheet23.xml" ContentType="application/vnd.openxmlformats-officedocument.spreadsheetml.worksheet+xml"/>
  <Override PartName="/xl/queryTables/queryTable47.xml" ContentType="application/vnd.openxmlformats-officedocument.spreadsheetml.queryTable+xml"/>
  <Override PartName="/xl/queryTables/queryTable94.xml" ContentType="application/vnd.openxmlformats-officedocument.spreadsheetml.queryTable+xml"/>
  <Override PartName="/xl/queryTables/queryTable127.xml" ContentType="application/vnd.openxmlformats-officedocument.spreadsheetml.queryTable+xml"/>
  <Override PartName="/xl/queryTables/queryTable174.xml" ContentType="application/vnd.openxmlformats-officedocument.spreadsheetml.queryTable+xml"/>
  <Override PartName="/xl/drawings/drawing38.xml" ContentType="application/vnd.openxmlformats-officedocument.drawing+xml"/>
  <Override PartName="/xl/worksheets/sheet12.xml" ContentType="application/vnd.openxmlformats-officedocument.spreadsheetml.worksheet+xml"/>
  <Override PartName="/xl/queryTables/queryTable36.xml" ContentType="application/vnd.openxmlformats-officedocument.spreadsheetml.queryTable+xml"/>
  <Override PartName="/xl/queryTables/queryTable83.xml" ContentType="application/vnd.openxmlformats-officedocument.spreadsheetml.queryTable+xml"/>
  <Override PartName="/xl/queryTables/queryTable116.xml" ContentType="application/vnd.openxmlformats-officedocument.spreadsheetml.queryTable+xml"/>
  <Override PartName="/xl/queryTables/queryTable163.xml" ContentType="application/vnd.openxmlformats-officedocument.spreadsheetml.queryTable+xml"/>
  <Override PartName="/xl/queryTables/queryTable297.xml" ContentType="application/vnd.openxmlformats-officedocument.spreadsheetml.queryTable+xml"/>
  <Override PartName="/xl/drawings/drawing27.xml" ContentType="application/vnd.openxmlformats-officedocument.drawing+xml"/>
  <Override PartName="/xl/queryTables/queryTable14.xml" ContentType="application/vnd.openxmlformats-officedocument.spreadsheetml.queryTable+xml"/>
  <Override PartName="/xl/queryTables/queryTable25.xml" ContentType="application/vnd.openxmlformats-officedocument.spreadsheetml.queryTable+xml"/>
  <Override PartName="/xl/queryTables/queryTable61.xml" ContentType="application/vnd.openxmlformats-officedocument.spreadsheetml.queryTable+xml"/>
  <Override PartName="/xl/queryTables/queryTable72.xml" ContentType="application/vnd.openxmlformats-officedocument.spreadsheetml.queryTable+xml"/>
  <Override PartName="/xl/queryTables/queryTable105.xml" ContentType="application/vnd.openxmlformats-officedocument.spreadsheetml.queryTable+xml"/>
  <Override PartName="/xl/queryTables/queryTable152.xml" ContentType="application/vnd.openxmlformats-officedocument.spreadsheetml.queryTable+xml"/>
  <Override PartName="/xl/queryTables/queryTable239.xml" ContentType="application/vnd.openxmlformats-officedocument.spreadsheetml.queryTable+xml"/>
  <Override PartName="/xl/queryTables/queryTable286.xml" ContentType="application/vnd.openxmlformats-officedocument.spreadsheetml.queryTable+xml"/>
  <Override PartName="/xl/queryTables/queryTable302.xml" ContentType="application/vnd.openxmlformats-officedocument.spreadsheetml.queryTable+xml"/>
  <Override PartName="/xl/drawings/drawing16.xml" ContentType="application/vnd.openxmlformats-officedocument.drawing+xml"/>
  <Override PartName="/xl/worksheets/sheet2.xml" ContentType="application/vnd.openxmlformats-officedocument.spreadsheetml.worksheet+xml"/>
  <Override PartName="/xl/drawings/drawing1.xml" ContentType="application/vnd.openxmlformats-officedocument.drawing+xml"/>
  <Override PartName="/xl/queryTables/queryTable50.xml" ContentType="application/vnd.openxmlformats-officedocument.spreadsheetml.queryTable+xml"/>
  <Override PartName="/xl/queryTables/queryTable130.xml" ContentType="application/vnd.openxmlformats-officedocument.spreadsheetml.queryTable+xml"/>
  <Override PartName="/xl/queryTables/queryTable141.xml" ContentType="application/vnd.openxmlformats-officedocument.spreadsheetml.queryTable+xml"/>
  <Override PartName="/xl/queryTables/queryTable228.xml" ContentType="application/vnd.openxmlformats-officedocument.spreadsheetml.queryTable+xml"/>
  <Override PartName="/xl/queryTables/queryTable275.xml" ContentType="application/vnd.openxmlformats-officedocument.spreadsheetml.queryTable+xml"/>
  <Override PartName="/xl/queryTables/queryTable7.xml" ContentType="application/vnd.openxmlformats-officedocument.spreadsheetml.queryTable+xml"/>
  <Override PartName="/xl/queryTables/queryTable206.xml" ContentType="application/vnd.openxmlformats-officedocument.spreadsheetml.queryTable+xml"/>
  <Override PartName="/xl/queryTables/queryTable217.xml" ContentType="application/vnd.openxmlformats-officedocument.spreadsheetml.queryTable+xml"/>
  <Override PartName="/xl/queryTables/queryTable253.xml" ContentType="application/vnd.openxmlformats-officedocument.spreadsheetml.queryTable+xml"/>
  <Override PartName="/xl/queryTables/queryTable264.xml" ContentType="application/vnd.openxmlformats-officedocument.spreadsheetml.queryTable+xml"/>
  <Override PartName="/xl/drawings/drawing30.xml" ContentType="application/vnd.openxmlformats-officedocument.drawing+xml"/>
  <Override PartName="/xl/worksheets/sheet28.xml" ContentType="application/vnd.openxmlformats-officedocument.spreadsheetml.worksheet+xml"/>
  <Override PartName="/xl/worksheets/sheet39.xml" ContentType="application/vnd.openxmlformats-officedocument.spreadsheetml.worksheet+xml"/>
  <Override PartName="/xl/queryTables/queryTable242.xml" ContentType="application/vnd.openxmlformats-officedocument.spreadsheetml.queryTable+xml"/>
  <Override PartName="/xl/worksheets/sheet17.xml" ContentType="application/vnd.openxmlformats-officedocument.spreadsheetml.worksheet+xml"/>
  <Override PartName="/xl/queryTables/queryTable88.xml" ContentType="application/vnd.openxmlformats-officedocument.spreadsheetml.queryTable+xml"/>
  <Override PartName="/xl/queryTables/queryTable99.xml" ContentType="application/vnd.openxmlformats-officedocument.spreadsheetml.queryTable+xml"/>
  <Override PartName="/xl/queryTables/queryTable179.xml" ContentType="application/vnd.openxmlformats-officedocument.spreadsheetml.queryTable+xml"/>
  <Override PartName="/xl/queryTables/queryTable231.xml" ContentType="application/vnd.openxmlformats-officedocument.spreadsheetml.queryTable+xml"/>
  <Override PartName="/xl/queryTables/queryTable77.xml" ContentType="application/vnd.openxmlformats-officedocument.spreadsheetml.queryTable+xml"/>
  <Override PartName="/xl/queryTables/queryTable157.xml" ContentType="application/vnd.openxmlformats-officedocument.spreadsheetml.queryTable+xml"/>
  <Override PartName="/xl/queryTables/queryTable168.xml" ContentType="application/vnd.openxmlformats-officedocument.spreadsheetml.queryTable+xml"/>
  <Override PartName="/xl/queryTables/queryTable220.xml" ContentType="application/vnd.openxmlformats-officedocument.spreadsheetml.queryTable+xml"/>
  <Override PartName="/xl/drawings/drawing6.xml" ContentType="application/vnd.openxmlformats-officedocument.drawing+xml"/>
  <Override PartName="/xl/queryTables/queryTable19.xml" ContentType="application/vnd.openxmlformats-officedocument.spreadsheetml.queryTable+xml"/>
  <Override PartName="/xl/queryTables/queryTable66.xml" ContentType="application/vnd.openxmlformats-officedocument.spreadsheetml.queryTable+xml"/>
  <Override PartName="/xl/queryTables/queryTable146.xml" ContentType="application/vnd.openxmlformats-officedocument.spreadsheetml.queryTable+xml"/>
  <Override PartName="/xl/queryTables/queryTable193.xml" ContentType="application/vnd.openxmlformats-officedocument.spreadsheetml.queryTable+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queryTables/queryTable44.xml" ContentType="application/vnd.openxmlformats-officedocument.spreadsheetml.queryTable+xml"/>
  <Override PartName="/xl/queryTables/queryTable55.xml" ContentType="application/vnd.openxmlformats-officedocument.spreadsheetml.queryTable+xml"/>
  <Override PartName="/xl/queryTables/queryTable91.xml" ContentType="application/vnd.openxmlformats-officedocument.spreadsheetml.queryTable+xml"/>
  <Override PartName="/xl/queryTables/queryTable135.xml" ContentType="application/vnd.openxmlformats-officedocument.spreadsheetml.queryTable+xml"/>
  <Override PartName="/xl/queryTables/queryTable182.xml" ContentType="application/vnd.openxmlformats-officedocument.spreadsheetml.queryTable+xml"/>
  <Override PartName="/xl/queryTables/queryTable269.xml" ContentType="application/vnd.openxmlformats-officedocument.spreadsheetml.queryTable+xml"/>
  <Override PartName="/xl/vbaProject.bin" ContentType="application/vnd.ms-office.vbaProject"/>
  <Override PartName="/xl/queryTables/queryTable33.xml" ContentType="application/vnd.openxmlformats-officedocument.spreadsheetml.queryTable+xml"/>
  <Override PartName="/xl/queryTables/queryTable80.xml" ContentType="application/vnd.openxmlformats-officedocument.spreadsheetml.queryTable+xml"/>
  <Override PartName="/xl/queryTables/queryTable113.xml" ContentType="application/vnd.openxmlformats-officedocument.spreadsheetml.queryTable+xml"/>
  <Override PartName="/xl/queryTables/queryTable124.xml" ContentType="application/vnd.openxmlformats-officedocument.spreadsheetml.queryTable+xml"/>
  <Override PartName="/xl/queryTables/queryTable160.xml" ContentType="application/vnd.openxmlformats-officedocument.spreadsheetml.queryTable+xml"/>
  <Override PartName="/xl/queryTables/queryTable171.xml" ContentType="application/vnd.openxmlformats-officedocument.spreadsheetml.queryTable+xml"/>
  <Override PartName="/xl/queryTables/queryTable258.xml" ContentType="application/vnd.openxmlformats-officedocument.spreadsheetml.queryTable+xml"/>
  <Override PartName="/xl/drawings/drawing35.xml" ContentType="application/vnd.openxmlformats-officedocument.drawing+xml"/>
  <Override PartName="/xl/activeX/activeX1.xml" ContentType="application/vnd.ms-office.activeX+xml"/>
  <Override PartName="/xl/queryTables/queryTable22.xml" ContentType="application/vnd.openxmlformats-officedocument.spreadsheetml.queryTable+xml"/>
  <Override PartName="/xl/queryTables/queryTable102.xml" ContentType="application/vnd.openxmlformats-officedocument.spreadsheetml.queryTable+xml"/>
  <Override PartName="/xl/queryTables/queryTable247.xml" ContentType="application/vnd.openxmlformats-officedocument.spreadsheetml.queryTable+xml"/>
  <Override PartName="/xl/queryTables/queryTable294.xml" ContentType="application/vnd.openxmlformats-officedocument.spreadsheetml.queryTable+xml"/>
  <Override PartName="/xl/drawings/drawing13.xml" ContentType="application/vnd.openxmlformats-officedocument.drawing+xml"/>
  <Override PartName="/xl/drawings/drawing24.xml" ContentType="application/vnd.openxmlformats-officedocument.drawing+xml"/>
  <Override PartName="/xl/queryTables/queryTable11.xml" ContentType="application/vnd.openxmlformats-officedocument.spreadsheetml.queryTable+xml"/>
  <Override PartName="/xl/queryTables/queryTable225.xml" ContentType="application/vnd.openxmlformats-officedocument.spreadsheetml.queryTable+xml"/>
  <Override PartName="/xl/queryTables/queryTable236.xml" ContentType="application/vnd.openxmlformats-officedocument.spreadsheetml.queryTable+xml"/>
  <Override PartName="/xl/queryTables/queryTable272.xml" ContentType="application/vnd.openxmlformats-officedocument.spreadsheetml.queryTable+xml"/>
  <Override PartName="/xl/queryTables/queryTable283.xml" ContentType="application/vnd.openxmlformats-officedocument.spreadsheetml.queryTable+xml"/>
  <Override PartName="/xl/sharedStrings.xml" ContentType="application/vnd.openxmlformats-officedocument.spreadsheetml.sharedStrings+xml"/>
  <Override PartName="/xl/queryTables/queryTable214.xml" ContentType="application/vnd.openxmlformats-officedocument.spreadsheetml.queryTable+xml"/>
  <Override PartName="/xl/queryTables/queryTable261.xml" ContentType="application/vnd.openxmlformats-officedocument.spreadsheetml.queryTable+xml"/>
  <Override PartName="/xl/worksheets/sheet36.xml" ContentType="application/vnd.openxmlformats-officedocument.spreadsheetml.worksheet+xml"/>
  <Override PartName="/xl/queryTables/queryTable4.xml" ContentType="application/vnd.openxmlformats-officedocument.spreadsheetml.queryTable+xml"/>
  <Override PartName="/xl/queryTables/queryTable198.xml" ContentType="application/vnd.openxmlformats-officedocument.spreadsheetml.queryTable+xml"/>
  <Override PartName="/xl/queryTables/queryTable203.xml" ContentType="application/vnd.openxmlformats-officedocument.spreadsheetml.queryTable+xml"/>
  <Override PartName="/xl/queryTables/queryTable250.xml" ContentType="application/vnd.openxmlformats-officedocument.spreadsheetml.queryTable+xml"/>
  <Override PartName="/xl/worksheets/sheet25.xml" ContentType="application/vnd.openxmlformats-officedocument.spreadsheetml.worksheet+xml"/>
  <Default Extension="bin" ContentType="application/vnd.openxmlformats-officedocument.spreadsheetml.printerSettings"/>
  <Override PartName="/xl/queryTables/queryTable49.xml" ContentType="application/vnd.openxmlformats-officedocument.spreadsheetml.queryTable+xml"/>
  <Override PartName="/xl/queryTables/queryTable96.xml" ContentType="application/vnd.openxmlformats-officedocument.spreadsheetml.queryTable+xml"/>
  <Override PartName="/xl/queryTables/queryTable129.xml" ContentType="application/vnd.openxmlformats-officedocument.spreadsheetml.queryTable+xml"/>
  <Override PartName="/xl/queryTables/queryTable176.xml" ContentType="application/vnd.openxmlformats-officedocument.spreadsheetml.queryTable+xml"/>
  <Override PartName="/xl/queryTables/queryTable187.xml" ContentType="application/vnd.openxmlformats-officedocument.spreadsheetml.queryTable+xml"/>
  <Override PartName="/xl/worksheets/sheet14.xml" ContentType="application/vnd.openxmlformats-officedocument.spreadsheetml.worksheet+xml"/>
  <Override PartName="/xl/queryTables/queryTable38.xml" ContentType="application/vnd.openxmlformats-officedocument.spreadsheetml.queryTable+xml"/>
  <Override PartName="/xl/queryTables/queryTable85.xml" ContentType="application/vnd.openxmlformats-officedocument.spreadsheetml.queryTable+xml"/>
  <Override PartName="/xl/queryTables/queryTable118.xml" ContentType="application/vnd.openxmlformats-officedocument.spreadsheetml.queryTable+xml"/>
  <Override PartName="/xl/queryTables/queryTable165.xml" ContentType="application/vnd.openxmlformats-officedocument.spreadsheetml.queryTable+xml"/>
  <Override PartName="/xl/queryTables/queryTable299.xml" ContentType="application/vnd.openxmlformats-officedocument.spreadsheetml.queryTable+xml"/>
  <Override PartName="/xl/drawings/drawing29.xml" ContentType="application/vnd.openxmlformats-officedocument.drawing+xml"/>
  <Override PartName="/xl/queryTables/queryTable16.xml" ContentType="application/vnd.openxmlformats-officedocument.spreadsheetml.queryTable+xml"/>
  <Override PartName="/xl/queryTables/queryTable27.xml" ContentType="application/vnd.openxmlformats-officedocument.spreadsheetml.queryTable+xml"/>
  <Override PartName="/xl/queryTables/queryTable63.xml" ContentType="application/vnd.openxmlformats-officedocument.spreadsheetml.queryTable+xml"/>
  <Override PartName="/xl/queryTables/queryTable74.xml" ContentType="application/vnd.openxmlformats-officedocument.spreadsheetml.queryTable+xml"/>
  <Override PartName="/xl/queryTables/queryTable107.xml" ContentType="application/vnd.openxmlformats-officedocument.spreadsheetml.queryTable+xml"/>
  <Override PartName="/xl/queryTables/queryTable154.xml" ContentType="application/vnd.openxmlformats-officedocument.spreadsheetml.queryTable+xml"/>
  <Override PartName="/xl/queryTables/queryTable288.xml" ContentType="application/vnd.openxmlformats-officedocument.spreadsheetml.queryTable+xml"/>
  <Override PartName="/xl/queryTables/queryTable304.xml" ContentType="application/vnd.openxmlformats-officedocument.spreadsheetml.queryTable+xml"/>
  <Override PartName="/xl/drawings/drawing18.xml" ContentType="application/vnd.openxmlformats-officedocument.drawing+xml"/>
  <Override PartName="/xl/workbook.xml" ContentType="application/vnd.ms-excel.sheet.macroEnabled.main+xml"/>
  <Override PartName="/xl/worksheets/sheet4.xml" ContentType="application/vnd.openxmlformats-officedocument.spreadsheetml.worksheet+xml"/>
  <Override PartName="/xl/drawings/drawing3.xml" ContentType="application/vnd.openxmlformats-officedocument.drawing+xml"/>
  <Override PartName="/xl/queryTables/queryTable52.xml" ContentType="application/vnd.openxmlformats-officedocument.spreadsheetml.queryTable+xml"/>
  <Override PartName="/xl/queryTables/queryTable132.xml" ContentType="application/vnd.openxmlformats-officedocument.spreadsheetml.queryTable+xml"/>
  <Override PartName="/xl/queryTables/queryTable143.xml" ContentType="application/vnd.openxmlformats-officedocument.spreadsheetml.queryTable+xml"/>
  <Override PartName="/xl/queryTables/queryTable190.xml" ContentType="application/vnd.openxmlformats-officedocument.spreadsheetml.queryTable+xml"/>
  <Override PartName="/xl/queryTables/queryTable277.xml" ContentType="application/vnd.openxmlformats-officedocument.spreadsheetml.queryTable+xml"/>
  <Override PartName="/xl/queryTables/queryTable9.xml" ContentType="application/vnd.openxmlformats-officedocument.spreadsheetml.queryTable+xml"/>
  <Override PartName="/xl/queryTables/queryTable41.xml" ContentType="application/vnd.openxmlformats-officedocument.spreadsheetml.queryTable+xml"/>
  <Override PartName="/xl/queryTables/queryTable121.xml" ContentType="application/vnd.openxmlformats-officedocument.spreadsheetml.queryTable+xml"/>
  <Override PartName="/xl/queryTables/queryTable208.xml" ContentType="application/vnd.openxmlformats-officedocument.spreadsheetml.queryTable+xml"/>
  <Override PartName="/xl/queryTables/queryTable219.xml" ContentType="application/vnd.openxmlformats-officedocument.spreadsheetml.queryTable+xml"/>
  <Override PartName="/xl/queryTables/queryTable255.xml" ContentType="application/vnd.openxmlformats-officedocument.spreadsheetml.queryTable+xml"/>
  <Override PartName="/xl/queryTables/queryTable266.xml" ContentType="application/vnd.openxmlformats-officedocument.spreadsheetml.queryTable+xml"/>
  <Override PartName="/xl/drawings/drawing32.xml" ContentType="application/vnd.openxmlformats-officedocument.drawing+xml"/>
  <Default Extension="gif" ContentType="image/gif"/>
  <Default Extension="vml" ContentType="application/vnd.openxmlformats-officedocument.vmlDrawing"/>
  <Override PartName="/xl/queryTables/queryTable30.xml" ContentType="application/vnd.openxmlformats-officedocument.spreadsheetml.queryTable+xml"/>
  <Override PartName="/xl/queryTables/queryTable110.xml" ContentType="application/vnd.openxmlformats-officedocument.spreadsheetml.queryTable+xml"/>
  <Override PartName="/xl/queryTables/queryTable244.xml" ContentType="application/vnd.openxmlformats-officedocument.spreadsheetml.queryTable+xml"/>
  <Override PartName="/xl/queryTables/queryTable291.xml" ContentType="application/vnd.openxmlformats-officedocument.spreadsheetml.queryTable+xml"/>
  <Override PartName="/xl/comments1.xml" ContentType="application/vnd.openxmlformats-officedocument.spreadsheetml.comments+xml"/>
  <Override PartName="/xl/drawings/drawing21.xml" ContentType="application/vnd.openxmlformats-officedocument.drawing+xml"/>
  <Override PartName="/xl/worksheets/sheet19.xml" ContentType="application/vnd.openxmlformats-officedocument.spreadsheetml.worksheet+xml"/>
  <Override PartName="/xl/queryTables/queryTable233.xml" ContentType="application/vnd.openxmlformats-officedocument.spreadsheetml.queryTable+xml"/>
  <Override PartName="/xl/queryTables/queryTable280.xml" ContentType="application/vnd.openxmlformats-officedocument.spreadsheetml.queryTable+xml"/>
  <Override PartName="/xl/drawings/drawing10.xml" ContentType="application/vnd.openxmlformats-officedocument.drawing+xml"/>
  <Override PartName="/xl/queryTables/queryTable79.xml" ContentType="application/vnd.openxmlformats-officedocument.spreadsheetml.queryTable+xml"/>
  <Override PartName="/xl/queryTables/queryTable159.xml" ContentType="application/vnd.openxmlformats-officedocument.spreadsheetml.queryTable+xml"/>
  <Override PartName="/xl/queryTables/queryTable222.xml" ContentType="application/vnd.openxmlformats-officedocument.spreadsheetml.queryTable+xml"/>
  <Override PartName="/docProps/core.xml" ContentType="application/vnd.openxmlformats-package.core-properties+xml"/>
  <Override PartName="/xl/queryTables/queryTable1.xml" ContentType="application/vnd.openxmlformats-officedocument.spreadsheetml.queryTable+xml"/>
  <Override PartName="/xl/queryTables/queryTable68.xml" ContentType="application/vnd.openxmlformats-officedocument.spreadsheetml.queryTable+xml"/>
  <Override PartName="/xl/queryTables/queryTable148.xml" ContentType="application/vnd.openxmlformats-officedocument.spreadsheetml.queryTable+xml"/>
  <Override PartName="/xl/queryTables/queryTable195.xml" ContentType="application/vnd.openxmlformats-officedocument.spreadsheetml.queryTable+xml"/>
  <Override PartName="/xl/queryTables/queryTable200.xml" ContentType="application/vnd.openxmlformats-officedocument.spreadsheetml.queryTable+xml"/>
  <Override PartName="/xl/queryTables/queryTable211.xml" ContentType="application/vnd.openxmlformats-officedocument.spreadsheetml.queryTable+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queryTables/queryTable46.xml" ContentType="application/vnd.openxmlformats-officedocument.spreadsheetml.queryTable+xml"/>
  <Override PartName="/xl/queryTables/queryTable57.xml" ContentType="application/vnd.openxmlformats-officedocument.spreadsheetml.queryTable+xml"/>
  <Override PartName="/xl/queryTables/queryTable137.xml" ContentType="application/vnd.openxmlformats-officedocument.spreadsheetml.queryTable+xml"/>
  <Override PartName="/xl/queryTables/queryTable184.xml" ContentType="application/vnd.openxmlformats-officedocument.spreadsheetml.queryTable+xml"/>
  <Override PartName="/xl/worksheets/sheet11.xml" ContentType="application/vnd.openxmlformats-officedocument.spreadsheetml.worksheet+xml"/>
  <Override PartName="/xl/queryTables/queryTable35.xml" ContentType="application/vnd.openxmlformats-officedocument.spreadsheetml.queryTable+xml"/>
  <Override PartName="/xl/queryTables/queryTable82.xml" ContentType="application/vnd.openxmlformats-officedocument.spreadsheetml.queryTable+xml"/>
  <Override PartName="/xl/queryTables/queryTable93.xml" ContentType="application/vnd.openxmlformats-officedocument.spreadsheetml.queryTable+xml"/>
  <Override PartName="/xl/queryTables/queryTable115.xml" ContentType="application/vnd.openxmlformats-officedocument.spreadsheetml.queryTable+xml"/>
  <Override PartName="/xl/queryTables/queryTable126.xml" ContentType="application/vnd.openxmlformats-officedocument.spreadsheetml.queryTable+xml"/>
  <Override PartName="/xl/queryTables/queryTable162.xml" ContentType="application/vnd.openxmlformats-officedocument.spreadsheetml.queryTable+xml"/>
  <Override PartName="/xl/queryTables/queryTable173.xml" ContentType="application/vnd.openxmlformats-officedocument.spreadsheetml.queryTable+xml"/>
  <Override PartName="/xl/drawings/drawing37.xml" ContentType="application/vnd.openxmlformats-officedocument.drawing+xml"/>
  <Default Extension="rels" ContentType="application/vnd.openxmlformats-package.relationships+xml"/>
  <Override PartName="/xl/queryTables/queryTable24.xml" ContentType="application/vnd.openxmlformats-officedocument.spreadsheetml.queryTable+xml"/>
  <Override PartName="/xl/queryTables/queryTable71.xml" ContentType="application/vnd.openxmlformats-officedocument.spreadsheetml.queryTable+xml"/>
  <Override PartName="/xl/queryTables/queryTable104.xml" ContentType="application/vnd.openxmlformats-officedocument.spreadsheetml.queryTable+xml"/>
  <Override PartName="/xl/queryTables/queryTable151.xml" ContentType="application/vnd.openxmlformats-officedocument.spreadsheetml.queryTable+xml"/>
  <Override PartName="/xl/queryTables/queryTable249.xml" ContentType="application/vnd.openxmlformats-officedocument.spreadsheetml.queryTable+xml"/>
  <Override PartName="/xl/queryTables/queryTable296.xml" ContentType="application/vnd.openxmlformats-officedocument.spreadsheetml.queryTable+xml"/>
  <Override PartName="/xl/queryTables/queryTable301.xml" ContentType="application/vnd.openxmlformats-officedocument.spreadsheetml.queryTable+xml"/>
  <Override PartName="/xl/drawings/drawing15.xml" ContentType="application/vnd.openxmlformats-officedocument.drawing+xml"/>
  <Override PartName="/xl/drawings/drawing26.xml" ContentType="application/vnd.openxmlformats-officedocument.drawing+xml"/>
  <Override PartName="/xl/queryTables/queryTable13.xml" ContentType="application/vnd.openxmlformats-officedocument.spreadsheetml.queryTable+xml"/>
  <Override PartName="/xl/queryTables/queryTable60.xml" ContentType="application/vnd.openxmlformats-officedocument.spreadsheetml.queryTable+xml"/>
  <Override PartName="/xl/queryTables/queryTable140.xml" ContentType="application/vnd.openxmlformats-officedocument.spreadsheetml.queryTable+xml"/>
  <Override PartName="/xl/queryTables/queryTable227.xml" ContentType="application/vnd.openxmlformats-officedocument.spreadsheetml.queryTable+xml"/>
  <Override PartName="/xl/queryTables/queryTable238.xml" ContentType="application/vnd.openxmlformats-officedocument.spreadsheetml.queryTable+xml"/>
  <Override PartName="/xl/queryTables/queryTable274.xml" ContentType="application/vnd.openxmlformats-officedocument.spreadsheetml.queryTable+xml"/>
  <Override PartName="/xl/queryTables/queryTable285.xml" ContentType="application/vnd.openxmlformats-officedocument.spreadsheetml.queryTable+xml"/>
  <Override PartName="/xl/worksheets/sheet1.xml" ContentType="application/vnd.openxmlformats-officedocument.spreadsheetml.worksheet+xml"/>
  <Override PartName="/xl/queryTables/queryTable216.xml" ContentType="application/vnd.openxmlformats-officedocument.spreadsheetml.queryTable+xml"/>
  <Override PartName="/xl/queryTables/queryTable263.xml" ContentType="application/vnd.openxmlformats-officedocument.spreadsheetml.queryTable+xml"/>
  <Override PartName="/xl/drawings/drawing40.xml" ContentType="application/vnd.openxmlformats-officedocument.drawing+xml"/>
  <Override PartName="/xl/worksheets/sheet38.xml" ContentType="application/vnd.openxmlformats-officedocument.spreadsheetml.worksheet+xml"/>
  <Override PartName="/xl/queryTables/queryTable6.xml" ContentType="application/vnd.openxmlformats-officedocument.spreadsheetml.queryTable+xml"/>
  <Override PartName="/xl/queryTables/queryTable205.xml" ContentType="application/vnd.openxmlformats-officedocument.spreadsheetml.queryTable+xml"/>
  <Override PartName="/xl/queryTables/queryTable252.xml" ContentType="application/vnd.openxmlformats-officedocument.spreadsheetml.queryTable+xml"/>
  <Override PartName="/xl/worksheets/sheet27.xml" ContentType="application/vnd.openxmlformats-officedocument.spreadsheetml.worksheet+xml"/>
  <Override PartName="/xl/queryTables/queryTable98.xml" ContentType="application/vnd.openxmlformats-officedocument.spreadsheetml.queryTable+xml"/>
  <Override PartName="/xl/queryTables/queryTable178.xml" ContentType="application/vnd.openxmlformats-officedocument.spreadsheetml.queryTable+xml"/>
  <Override PartName="/xl/queryTables/queryTable189.xml" ContentType="application/vnd.openxmlformats-officedocument.spreadsheetml.queryTable+xml"/>
  <Override PartName="/xl/queryTables/queryTable230.xml" ContentType="application/vnd.openxmlformats-officedocument.spreadsheetml.queryTable+xml"/>
  <Override PartName="/xl/queryTables/queryTable241.xml" ContentType="application/vnd.openxmlformats-officedocument.spreadsheetml.queryTable+xml"/>
  <Override PartName="/xl/worksheets/sheet16.xml" ContentType="application/vnd.openxmlformats-officedocument.spreadsheetml.worksheet+xml"/>
  <Override PartName="/xl/queryTables/queryTable87.xml" ContentType="application/vnd.openxmlformats-officedocument.spreadsheetml.queryTable+xml"/>
  <Override PartName="/xl/queryTables/queryTable167.xml" ContentType="application/vnd.openxmlformats-officedocument.spreadsheetml.queryTable+xml"/>
  <Override PartName="/xl/worksheets/sheet41.xml" ContentType="application/vnd.openxmlformats-officedocument.spreadsheetml.worksheet+xml"/>
  <Override PartName="/xl/queryTables/queryTable18.xml" ContentType="application/vnd.openxmlformats-officedocument.spreadsheetml.queryTable+xml"/>
  <Override PartName="/xl/queryTables/queryTable29.xml" ContentType="application/vnd.openxmlformats-officedocument.spreadsheetml.queryTable+xml"/>
  <Override PartName="/xl/queryTables/queryTable65.xml" ContentType="application/vnd.openxmlformats-officedocument.spreadsheetml.queryTable+xml"/>
  <Override PartName="/xl/queryTables/queryTable76.xml" ContentType="application/vnd.openxmlformats-officedocument.spreadsheetml.queryTable+xml"/>
  <Override PartName="/xl/queryTables/queryTable109.xml" ContentType="application/vnd.openxmlformats-officedocument.spreadsheetml.queryTable+xml"/>
  <Override PartName="/xl/queryTables/queryTable156.xml" ContentType="application/vnd.openxmlformats-officedocument.spreadsheetml.queryTable+xml"/>
  <Override PartName="/xl/worksheets/sheet6.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queryTables/queryTable54.xml" ContentType="application/vnd.openxmlformats-officedocument.spreadsheetml.queryTable+xml"/>
  <Override PartName="/xl/queryTables/queryTable134.xml" ContentType="application/vnd.openxmlformats-officedocument.spreadsheetml.queryTable+xml"/>
  <Override PartName="/xl/queryTables/queryTable145.xml" ContentType="application/vnd.openxmlformats-officedocument.spreadsheetml.queryTable+xml"/>
  <Override PartName="/xl/queryTables/queryTable181.xml" ContentType="application/vnd.openxmlformats-officedocument.spreadsheetml.queryTable+xml"/>
  <Override PartName="/xl/queryTables/queryTable192.xml" ContentType="application/vnd.openxmlformats-officedocument.spreadsheetml.queryTable+xml"/>
  <Override PartName="/xl/queryTables/queryTable279.xml" ContentType="application/vnd.openxmlformats-officedocument.spreadsheetml.queryTable+xml"/>
  <Override PartName="/xl/queryTables/queryTable43.xml" ContentType="application/vnd.openxmlformats-officedocument.spreadsheetml.queryTable+xml"/>
  <Override PartName="/xl/queryTables/queryTable90.xml" ContentType="application/vnd.openxmlformats-officedocument.spreadsheetml.queryTable+xml"/>
  <Override PartName="/xl/queryTables/queryTable123.xml" ContentType="application/vnd.openxmlformats-officedocument.spreadsheetml.queryTable+xml"/>
  <Override PartName="/xl/queryTables/queryTable170.xml" ContentType="application/vnd.openxmlformats-officedocument.spreadsheetml.queryTable+xml"/>
  <Override PartName="/xl/queryTables/queryTable268.xml" ContentType="application/vnd.openxmlformats-officedocument.spreadsheetml.queryTable+xml"/>
  <Override PartName="/xl/drawings/drawing34.xml" ContentType="application/vnd.openxmlformats-officedocument.drawing+xml"/>
  <Override PartName="/xl/queryTables/queryTable21.xml" ContentType="application/vnd.openxmlformats-officedocument.spreadsheetml.queryTable+xml"/>
  <Override PartName="/xl/queryTables/queryTable32.xml" ContentType="application/vnd.openxmlformats-officedocument.spreadsheetml.queryTable+xml"/>
  <Override PartName="/xl/queryTables/queryTable112.xml" ContentType="application/vnd.openxmlformats-officedocument.spreadsheetml.queryTable+xml"/>
  <Override PartName="/xl/queryTables/queryTable246.xml" ContentType="application/vnd.openxmlformats-officedocument.spreadsheetml.queryTable+xml"/>
  <Override PartName="/xl/queryTables/queryTable257.xml" ContentType="application/vnd.openxmlformats-officedocument.spreadsheetml.queryTable+xml"/>
  <Override PartName="/xl/queryTables/queryTable293.xml" ContentType="application/vnd.openxmlformats-officedocument.spreadsheetml.queryTable+xml"/>
  <Override PartName="/xl/drawings/drawing23.xml" ContentType="application/vnd.openxmlformats-officedocument.drawing+xml"/>
  <Override PartName="/xl/comments3.xml" ContentType="application/vnd.openxmlformats-officedocument.spreadsheetml.comments+xml"/>
  <Override PartName="/xl/queryTables/queryTable10.xml" ContentType="application/vnd.openxmlformats-officedocument.spreadsheetml.queryTable+xml"/>
  <Override PartName="/xl/queryTables/queryTable101.xml" ContentType="application/vnd.openxmlformats-officedocument.spreadsheetml.queryTable+xml"/>
  <Override PartName="/xl/queryTables/queryTable235.xml" ContentType="application/vnd.openxmlformats-officedocument.spreadsheetml.queryTable+xml"/>
  <Override PartName="/xl/queryTables/queryTable282.xml" ContentType="application/vnd.openxmlformats-officedocument.spreadsheetml.queryTable+xml"/>
  <Override PartName="/xl/drawings/drawing12.xml" ContentType="application/vnd.openxmlformats-officedocument.drawing+xml"/>
  <Override PartName="/xl/queryTables/queryTable224.xml" ContentType="application/vnd.openxmlformats-officedocument.spreadsheetml.queryTable+xml"/>
  <Override PartName="/xl/queryTables/queryTable271.xml" ContentType="application/vnd.openxmlformats-officedocument.spreadsheetml.queryTable+xml"/>
  <Override PartName="/xl/queryTables/queryTable3.xml" ContentType="application/vnd.openxmlformats-officedocument.spreadsheetml.queryTable+xml"/>
  <Override PartName="/xl/queryTables/queryTable197.xml" ContentType="application/vnd.openxmlformats-officedocument.spreadsheetml.queryTable+xml"/>
  <Override PartName="/xl/queryTables/queryTable202.xml" ContentType="application/vnd.openxmlformats-officedocument.spreadsheetml.queryTable+xml"/>
  <Override PartName="/xl/queryTables/queryTable213.xml" ContentType="application/vnd.openxmlformats-officedocument.spreadsheetml.queryTable+xml"/>
  <Override PartName="/xl/queryTables/queryTable260.xml" ContentType="application/vnd.openxmlformats-officedocument.spreadsheetml.queryTable+xml"/>
  <Override PartName="/xl/worksheets/sheet24.xml" ContentType="application/vnd.openxmlformats-officedocument.spreadsheetml.worksheet+xml"/>
  <Override PartName="/xl/queryTables/queryTable59.xml" ContentType="application/vnd.openxmlformats-officedocument.spreadsheetml.queryTable+xml"/>
  <Override PartName="/xl/queryTables/queryTable37.xml" ContentType="application/vnd.openxmlformats-officedocument.spreadsheetml.queryTable+xml"/>
  <Override PartName="/xl/queryTables/queryTable84.xml" ContentType="application/vnd.openxmlformats-officedocument.spreadsheetml.queryTable+xml"/>
  <Override PartName="/xl/queryTables/queryTable128.xml" ContentType="application/vnd.openxmlformats-officedocument.spreadsheetml.queryTable+xml"/>
  <Override PartName="/xl/queryTables/queryTable175.xml" ContentType="application/vnd.openxmlformats-officedocument.spreadsheetml.queryTable+xml"/>
  <Override PartName="/xl/queryTables/queryTable106.xml" ContentType="application/vnd.openxmlformats-officedocument.spreadsheetml.queryTable+xml"/>
  <Override PartName="/xl/queryTables/queryTable153.xml" ContentType="application/vnd.openxmlformats-officedocument.spreadsheetml.queryTable+xml"/>
  <Override PartName="/xl/queryTables/queryTable298.xml" ContentType="application/vnd.openxmlformats-officedocument.spreadsheetml.queryTable+xml"/>
  <Override PartName="/xl/drawings/drawing28.xml" ContentType="application/vnd.openxmlformats-officedocument.drawing+xml"/>
  <Override PartName="/xl/drawings/drawing2.xml" ContentType="application/vnd.openxmlformats-officedocument.drawing+xml"/>
  <Override PartName="/xl/queryTables/queryTable15.xml" ContentType="application/vnd.openxmlformats-officedocument.spreadsheetml.queryTable+xml"/>
  <Override PartName="/xl/queryTables/queryTable62.xml" ContentType="application/vnd.openxmlformats-officedocument.spreadsheetml.queryTable+xml"/>
  <Override PartName="/xl/queryTables/queryTable229.xml" ContentType="application/vnd.openxmlformats-officedocument.spreadsheetml.queryTable+xml"/>
  <Override PartName="/xl/queryTables/queryTable276.xml" ContentType="application/vnd.openxmlformats-officedocument.spreadsheetml.queryTable+xml"/>
  <Override PartName="/xl/worksheets/sheet3.xml" ContentType="application/vnd.openxmlformats-officedocument.spreadsheetml.worksheet+xml"/>
  <Override PartName="/xl/queryTables/queryTable40.xml" ContentType="application/vnd.openxmlformats-officedocument.spreadsheetml.queryTable+xml"/>
  <Override PartName="/xl/queryTables/queryTable131.xml" ContentType="application/vnd.openxmlformats-officedocument.spreadsheetml.queryTab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showHorizontalScroll="0" showVerticalScroll="0" showSheetTabs="0" xWindow="5835" yWindow="15" windowWidth="17175" windowHeight="11955" tabRatio="864"/>
  </bookViews>
  <sheets>
    <sheet name="ACCUEILACTIVATIONMACROS" sheetId="23" r:id="rId1"/>
    <sheet name="MACROS" sheetId="15" r:id="rId2"/>
    <sheet name="PARA" sheetId="33" state="veryHidden" r:id="rId3"/>
    <sheet name="CONTACT" sheetId="16" state="veryHidden" r:id="rId4"/>
    <sheet name="SOMMAIRE" sheetId="5" r:id="rId5"/>
    <sheet name="AUTRES JEUX" sheetId="31" state="veryHidden" r:id="rId6"/>
    <sheet name="PageBonus" sheetId="28" state="veryHidden" r:id="rId7"/>
    <sheet name="TheMaze" sheetId="30" state="veryHidden" r:id="rId8"/>
    <sheet name="VERIFMAJ" sheetId="29" state="veryHidden" r:id="rId9"/>
    <sheet name="ChiffreMystère" sheetId="1" state="veryHidden" r:id="rId10"/>
    <sheet name="CarteMagique" sheetId="2" state="veryHidden" r:id="rId11"/>
    <sheet name="Chocolat" sheetId="3" state="veryHidden" r:id="rId12"/>
    <sheet name="ADDITION" sheetId="6" state="veryHidden" r:id="rId13"/>
    <sheet name="QCultureG" sheetId="4" state="veryHidden" r:id="rId14"/>
    <sheet name="PESEE" sheetId="26" state="veryHidden" r:id="rId15"/>
    <sheet name="HEURE" sheetId="24" state="veryHidden" r:id="rId16"/>
    <sheet name="LOGIQUE" sheetId="19" state="veryHidden" r:id="rId17"/>
    <sheet name="SOMMAIRE (2)" sheetId="9" state="hidden" r:id="rId18"/>
    <sheet name="X²" sheetId="10" state="hidden" r:id="rId19"/>
    <sheet name="Table9" sheetId="12" state="veryHidden" r:id="rId20"/>
    <sheet name="Table11" sheetId="13" state="veryHidden" r:id="rId21"/>
    <sheet name="x³" sheetId="14" state="hidden" r:id="rId22"/>
    <sheet name="SOMMAIRE SIGNE ASTRO" sheetId="35" state="veryHidden" r:id="rId23"/>
    <sheet name="SigneAstro" sheetId="17" state="veryHidden" r:id="rId24"/>
    <sheet name="Theme Astral" sheetId="22" state="veryHidden" r:id="rId25"/>
    <sheet name="SigneAstroChinois" sheetId="34" state="veryHidden" r:id="rId26"/>
    <sheet name="Signe Chinois" sheetId="38" state="veryHidden" r:id="rId27"/>
    <sheet name="SigneAstroEgyptien" sheetId="37" state="veryHidden" r:id="rId28"/>
    <sheet name="Signe Egyptien" sheetId="39" state="veryHidden" r:id="rId29"/>
    <sheet name="Calendrier" sheetId="18" state="veryHidden" r:id="rId30"/>
    <sheet name="Révélations" sheetId="20" state="veryHidden" r:id="rId31"/>
    <sheet name="RSLTREVELATIONS" sheetId="21" state="veryHidden" r:id="rId32"/>
    <sheet name="Histoire" sheetId="27" state="veryHidden" r:id="rId33"/>
    <sheet name="ILLUSIONS" sheetId="40" state="veryHidden" r:id="rId34"/>
    <sheet name="OUVFACILE" sheetId="41" state="veryHidden" r:id="rId35"/>
    <sheet name="SOMMAIRE ADDITIONS" sheetId="42" state="hidden" r:id="rId36"/>
    <sheet name="ADDITION2" sheetId="43" state="veryHidden" r:id="rId37"/>
    <sheet name="Pointure" sheetId="44" state="veryHidden" r:id="rId38"/>
    <sheet name="SOMMAIRE AGE" sheetId="45" state="veryHidden" r:id="rId39"/>
    <sheet name="1089" sheetId="46" state="hidden" r:id="rId40"/>
    <sheet name="95" sheetId="47" state="hidden" r:id="rId41"/>
  </sheets>
  <definedNames>
    <definedName name="a">PARA!$B:$XFD</definedName>
    <definedName name="a9999999">PARA!#REF!</definedName>
    <definedName name="Amon_Râ">'SOMMAIRE SIGNE ASTRO'!$I$13:$I$14</definedName>
    <definedName name="ANNIVERSAIRE">'SOMMAIRE SIGNE ASTRO'!$Y$8:$Y$12</definedName>
    <definedName name="Anubis">'SOMMAIRE SIGNE ASTRO'!$J$13:$J$14</definedName>
    <definedName name="Balance">'SOMMAIRE SIGNE ASTRO'!$O$9</definedName>
    <definedName name="Bastet">'SOMMAIRE SIGNE ASTRO'!$K$13:$K$15</definedName>
    <definedName name="Bélier">'SOMMAIRE SIGNE ASTRO'!$I$9</definedName>
    <definedName name="Bœuf">'SOMMAIRE SIGNE ASTRO'!$J$20:$J$24</definedName>
    <definedName name="Bœuf_El._Bois">'SOMMAIRE SIGNE ASTRO'!$P$30:$P$31</definedName>
    <definedName name="Bœuf_El._Eau">'SOMMAIRE SIGNE ASTRO'!$O$30:$O$31</definedName>
    <definedName name="Bœuf_El._Feu">'SOMMAIRE SIGNE ASTRO'!$Q$30:$Q$31</definedName>
    <definedName name="Bœuf_El._Métal">'SOMMAIRE SIGNE ASTRO'!$N$30:$N$31</definedName>
    <definedName name="Bœuf_El._Terre">'SOMMAIRE SIGNE ASTRO'!$R$30:$R$31</definedName>
    <definedName name="Cancer">'SOMMAIRE SIGNE ASTRO'!$L$9</definedName>
    <definedName name="Capricorne">'SOMMAIRE SIGNE ASTRO'!$R$9</definedName>
    <definedName name="Cheval">'SOMMAIRE SIGNE ASTRO'!$O$20:$O$24</definedName>
    <definedName name="Cheval_El._Bois">'SOMMAIRE SIGNE ASTRO'!$AQ$30:$AQ$31</definedName>
    <definedName name="Cheval_El._Eau">'SOMMAIRE SIGNE ASTRO'!$AP$30:$AP$31</definedName>
    <definedName name="Cheval_El._Feu">'SOMMAIRE SIGNE ASTRO'!$AM$30:$AM$31</definedName>
    <definedName name="Cheval_El._Métal">'SOMMAIRE SIGNE ASTRO'!$AO$30:$AO$31</definedName>
    <definedName name="Cheval_El._Terre">'SOMMAIRE SIGNE ASTRO'!$AN$30:$AN$31</definedName>
    <definedName name="Chèvre">'SOMMAIRE SIGNE ASTRO'!$P$20:$P$24</definedName>
    <definedName name="Chèvre_El._Bois">'SOMMAIRE SIGNE ASTRO'!$AV$30:$AV$31</definedName>
    <definedName name="Chèvre_El._Eau">'SOMMAIRE SIGNE ASTRO'!$AU$30:$AU$31</definedName>
    <definedName name="Chèvre_El._Feu">'SOMMAIRE SIGNE ASTRO'!$AR$30:$AR$31</definedName>
    <definedName name="Chèvre_El._Métal">'SOMMAIRE SIGNE ASTRO'!$AT$30:$AT$31</definedName>
    <definedName name="Chèvre_El._Terre">'SOMMAIRE SIGNE ASTRO'!$AS$30:$AS$31</definedName>
    <definedName name="Chien">'SOMMAIRE SIGNE ASTRO'!$S$20:$S$24</definedName>
    <definedName name="Chien_El._Bois">'SOMMAIRE SIGNE ASTRO'!$BI$30:$BI$31</definedName>
    <definedName name="Chien_El._Eau">'SOMMAIRE SIGNE ASTRO'!$BH$30:$BH$31</definedName>
    <definedName name="Chien_El._Feu">'SOMMAIRE SIGNE ASTRO'!$BJ$30:$BJ$31</definedName>
    <definedName name="Chien_El._Métal">'SOMMAIRE SIGNE ASTRO'!$BG$30:$BG$31</definedName>
    <definedName name="Chien_El._Terre">'SOMMAIRE SIGNE ASTRO'!$BK$30:$BK$31</definedName>
    <definedName name="CNIL">PARA!$A$12:$A$132</definedName>
    <definedName name="Cochon">'SOMMAIRE SIGNE ASTRO'!$T$20:$T$24</definedName>
    <definedName name="Cochon_El._Bois">'SOMMAIRE SIGNE ASTRO'!$BN$30:$BN$31</definedName>
    <definedName name="Cochon_El._Eau">'SOMMAIRE SIGNE ASTRO'!$BM$30:$BM$31</definedName>
    <definedName name="Cochon_El._Feu">'SOMMAIRE SIGNE ASTRO'!$BO$30:$BO$31</definedName>
    <definedName name="Cochon_El._Métal">'SOMMAIRE SIGNE ASTRO'!$BL$30:$BL$31</definedName>
    <definedName name="Cochon_El._Terre">'SOMMAIRE SIGNE ASTRO'!$BP$30:$BP$31</definedName>
    <definedName name="Coq">'SOMMAIRE SIGNE ASTRO'!$R$20:$R$24</definedName>
    <definedName name="Coq_El._Bois">'SOMMAIRE SIGNE ASTRO'!$BE$30:$BE$31</definedName>
    <definedName name="Coq_El._Eau">'SOMMAIRE SIGNE ASTRO'!$BD$30:$BD$31</definedName>
    <definedName name="Coq_El._Feu">'SOMMAIRE SIGNE ASTRO'!$BF$30:$BF$31</definedName>
    <definedName name="Coq_El._Métal">'SOMMAIRE SIGNE ASTRO'!$BC$30:$BC$31</definedName>
    <definedName name="Coq_El._Terre">'SOMMAIRE SIGNE ASTRO'!$BB$30:$BB$31</definedName>
    <definedName name="D13c">QCultureG!$D$134</definedName>
    <definedName name="Dragon">'SOMMAIRE SIGNE ASTRO'!$M$20:$M$24</definedName>
    <definedName name="Dragon_El._Bois">'SOMMAIRE SIGNE ASTRO'!$AC$30:$AC$31</definedName>
    <definedName name="Dragon_El._Eau">'SOMMAIRE SIGNE ASTRO'!$AG$30:$AG$31</definedName>
    <definedName name="Dragon_El._Feu">'SOMMAIRE SIGNE ASTRO'!$AD$30:$AD$31</definedName>
    <definedName name="Dragon_El._Métal">'SOMMAIRE SIGNE ASTRO'!$AF$30:$AF$31</definedName>
    <definedName name="Dragon_El._Terre">'SOMMAIRE SIGNE ASTRO'!$AE$30:$AE$31</definedName>
    <definedName name="Geb">'SOMMAIRE SIGNE ASTRO'!$L$13:$L$14</definedName>
    <definedName name="Gémeaux">'SOMMAIRE SIGNE ASTRO'!$K$9</definedName>
    <definedName name="Horus">'SOMMAIRE SIGNE ASTRO'!$M$13:$M$14</definedName>
    <definedName name="Isis">'SOMMAIRE SIGNE ASTRO'!$N$13:$N$15</definedName>
    <definedName name="Le_Nil">'SOMMAIRE SIGNE ASTRO'!$O$13:$O$16</definedName>
    <definedName name="Lièvre">'SOMMAIRE SIGNE ASTRO'!$L$20:$L$24</definedName>
    <definedName name="Lièvre_El._Bois">'SOMMAIRE SIGNE ASTRO'!$Y$30:$Y$31</definedName>
    <definedName name="Lièvre_El._Eau">'SOMMAIRE SIGNE ASTRO'!$X$30:$X$31</definedName>
    <definedName name="Lièvre_El._Feu">'SOMMAIRE SIGNE ASTRO'!$Z$30:$Z$31</definedName>
    <definedName name="Lièvre_El._Métal">'SOMMAIRE SIGNE ASTRO'!$AB$30:$AB$31</definedName>
    <definedName name="Lièvre_El._Terre">'SOMMAIRE SIGNE ASTRO'!$AA$30:$AA$31</definedName>
    <definedName name="Lion">'SOMMAIRE SIGNE ASTRO'!$M$9</definedName>
    <definedName name="magie_interactive_et_jeux_divers_no174" localSheetId="8">VERIFMAJ!$G$1:$H$187</definedName>
    <definedName name="magie_interactive_et_jeux_divers_no174_1" localSheetId="8">VERIFMAJ!$G$1:$H$187</definedName>
    <definedName name="magie_interactive_et_jeux_divers_no174_10" localSheetId="8">VERIFMAJ!$G$1:$H$187</definedName>
    <definedName name="magie_interactive_et_jeux_divers_no174_100" localSheetId="8">VERIFMAJ!$C$1:$D$187</definedName>
    <definedName name="magie_interactive_et_jeux_divers_no174_101" localSheetId="8">VERIFMAJ!$C$1:$D$187</definedName>
    <definedName name="magie_interactive_et_jeux_divers_no174_102" localSheetId="8">VERIFMAJ!$C$1:$D$187</definedName>
    <definedName name="magie_interactive_et_jeux_divers_no174_103" localSheetId="8">VERIFMAJ!$C$1:$D$187</definedName>
    <definedName name="magie_interactive_et_jeux_divers_no174_104" localSheetId="8">VERIFMAJ!$C$1:$D$187</definedName>
    <definedName name="magie_interactive_et_jeux_divers_no174_105" localSheetId="8">VERIFMAJ!$C$1:$D$187</definedName>
    <definedName name="magie_interactive_et_jeux_divers_no174_106" localSheetId="8">VERIFMAJ!$C$1:$D$185</definedName>
    <definedName name="magie_interactive_et_jeux_divers_no174_107" localSheetId="8">VERIFMAJ!$C$1:$D$185</definedName>
    <definedName name="magie_interactive_et_jeux_divers_no174_108" localSheetId="8">VERIFMAJ!$C$1:$D$185</definedName>
    <definedName name="magie_interactive_et_jeux_divers_no174_109" localSheetId="8">VERIFMAJ!$C$1:$D$185</definedName>
    <definedName name="magie_interactive_et_jeux_divers_no174_11" localSheetId="8">VERIFMAJ!$G$1:$H$187</definedName>
    <definedName name="magie_interactive_et_jeux_divers_no174_110" localSheetId="8">VERIFMAJ!$C$1:$D$185</definedName>
    <definedName name="magie_interactive_et_jeux_divers_no174_111" localSheetId="8">VERIFMAJ!$C$1:$D$185</definedName>
    <definedName name="magie_interactive_et_jeux_divers_no174_112" localSheetId="8">VERIFMAJ!$C$1:$D$185</definedName>
    <definedName name="magie_interactive_et_jeux_divers_no174_113" localSheetId="8">VERIFMAJ!$C$1:$D$185</definedName>
    <definedName name="magie_interactive_et_jeux_divers_no174_114" localSheetId="8">VERIFMAJ!$C$1:$D$185</definedName>
    <definedName name="magie_interactive_et_jeux_divers_no174_115" localSheetId="8">VERIFMAJ!$C$1:$D$185</definedName>
    <definedName name="magie_interactive_et_jeux_divers_no174_116" localSheetId="8">VERIFMAJ!$C$1:$D$185</definedName>
    <definedName name="magie_interactive_et_jeux_divers_no174_117" localSheetId="8">VERIFMAJ!$C$1:$D$185</definedName>
    <definedName name="magie_interactive_et_jeux_divers_no174_118" localSheetId="8">VERIFMAJ!$C$1:$D$185</definedName>
    <definedName name="magie_interactive_et_jeux_divers_no174_119" localSheetId="8">VERIFMAJ!$C$1:$D$185</definedName>
    <definedName name="magie_interactive_et_jeux_divers_no174_12" localSheetId="8">VERIFMAJ!$G$1:$H$187</definedName>
    <definedName name="magie_interactive_et_jeux_divers_no174_120" localSheetId="8">VERIFMAJ!$C$1:$D$185</definedName>
    <definedName name="magie_interactive_et_jeux_divers_no174_121" localSheetId="8">VERIFMAJ!$C$1:$D$185</definedName>
    <definedName name="magie_interactive_et_jeux_divers_no174_122" localSheetId="8">VERIFMAJ!$C$1:$D$185</definedName>
    <definedName name="magie_interactive_et_jeux_divers_no174_123" localSheetId="8">VERIFMAJ!$C$1:$D$185</definedName>
    <definedName name="magie_interactive_et_jeux_divers_no174_124" localSheetId="8">VERIFMAJ!$C$1:$D$185</definedName>
    <definedName name="magie_interactive_et_jeux_divers_no174_125" localSheetId="8">VERIFMAJ!$C$1:$D$185</definedName>
    <definedName name="magie_interactive_et_jeux_divers_no174_126" localSheetId="8">VERIFMAJ!$C$1:$D$185</definedName>
    <definedName name="magie_interactive_et_jeux_divers_no174_127" localSheetId="8">VERIFMAJ!$C$1:$D$185</definedName>
    <definedName name="magie_interactive_et_jeux_divers_no174_128" localSheetId="8">VERIFMAJ!$C$1:$D$185</definedName>
    <definedName name="magie_interactive_et_jeux_divers_no174_129" localSheetId="8">VERIFMAJ!$C$1:$D$185</definedName>
    <definedName name="magie_interactive_et_jeux_divers_no174_13" localSheetId="8">VERIFMAJ!$G$1:$H$187</definedName>
    <definedName name="magie_interactive_et_jeux_divers_no174_130" localSheetId="8">VERIFMAJ!$C$1:$D$185</definedName>
    <definedName name="magie_interactive_et_jeux_divers_no174_131" localSheetId="8">VERIFMAJ!$C$1:$D$185</definedName>
    <definedName name="magie_interactive_et_jeux_divers_no174_132" localSheetId="8">VERIFMAJ!$C$1:$D$185</definedName>
    <definedName name="magie_interactive_et_jeux_divers_no174_133" localSheetId="8">VERIFMAJ!$C$1:$D$185</definedName>
    <definedName name="magie_interactive_et_jeux_divers_no174_134" localSheetId="8">VERIFMAJ!$C$1:$D$185</definedName>
    <definedName name="magie_interactive_et_jeux_divers_no174_135" localSheetId="8">VERIFMAJ!$C$1:$D$185</definedName>
    <definedName name="magie_interactive_et_jeux_divers_no174_136" localSheetId="8">VERIFMAJ!$C$1:$D$185</definedName>
    <definedName name="magie_interactive_et_jeux_divers_no174_137" localSheetId="8">VERIFMAJ!$C$1:$D$185</definedName>
    <definedName name="magie_interactive_et_jeux_divers_no174_138" localSheetId="8">VERIFMAJ!$C$1:$D$185</definedName>
    <definedName name="magie_interactive_et_jeux_divers_no174_139" localSheetId="8">VERIFMAJ!$C$1:$D$185</definedName>
    <definedName name="magie_interactive_et_jeux_divers_no174_14" localSheetId="8">VERIFMAJ!$G$1:$H$187</definedName>
    <definedName name="magie_interactive_et_jeux_divers_no174_140" localSheetId="8">VERIFMAJ!$C$1:$D$185</definedName>
    <definedName name="magie_interactive_et_jeux_divers_no174_141" localSheetId="8">VERIFMAJ!$C$1:$D$185</definedName>
    <definedName name="magie_interactive_et_jeux_divers_no174_142" localSheetId="8">VERIFMAJ!$C$1:$D$185</definedName>
    <definedName name="magie_interactive_et_jeux_divers_no174_143" localSheetId="8">VERIFMAJ!$C$1:$D$185</definedName>
    <definedName name="magie_interactive_et_jeux_divers_no174_144" localSheetId="8">VERIFMAJ!$C$1:$D$185</definedName>
    <definedName name="magie_interactive_et_jeux_divers_no174_145" localSheetId="8">VERIFMAJ!$C$1:$D$185</definedName>
    <definedName name="magie_interactive_et_jeux_divers_no174_146" localSheetId="8">VERIFMAJ!$C$1:$D$185</definedName>
    <definedName name="magie_interactive_et_jeux_divers_no174_147" localSheetId="8">VERIFMAJ!$C$1:$D$185</definedName>
    <definedName name="magie_interactive_et_jeux_divers_no174_148" localSheetId="8">VERIFMAJ!$C$1:$D$185</definedName>
    <definedName name="magie_interactive_et_jeux_divers_no174_149" localSheetId="8">VERIFMAJ!$C$1:$D$185</definedName>
    <definedName name="magie_interactive_et_jeux_divers_no174_15" localSheetId="8">VERIFMAJ!$G$1:$H$187</definedName>
    <definedName name="magie_interactive_et_jeux_divers_no174_150" localSheetId="8">VERIFMAJ!$C$1:$D$188</definedName>
    <definedName name="magie_interactive_et_jeux_divers_no174_151" localSheetId="8">VERIFMAJ!$C$1:$D$188</definedName>
    <definedName name="magie_interactive_et_jeux_divers_no174_152" localSheetId="8">VERIFMAJ!$C$1:$D$188</definedName>
    <definedName name="magie_interactive_et_jeux_divers_no174_153" localSheetId="8">VERIFMAJ!$C$1:$D$188</definedName>
    <definedName name="magie_interactive_et_jeux_divers_no174_154" localSheetId="8">VERIFMAJ!$C$1:$D$188</definedName>
    <definedName name="magie_interactive_et_jeux_divers_no174_155" localSheetId="8">VERIFMAJ!$C$1:$D$188</definedName>
    <definedName name="magie_interactive_et_jeux_divers_no174_156" localSheetId="8">VERIFMAJ!$C$1:$D$188</definedName>
    <definedName name="magie_interactive_et_jeux_divers_no174_157" localSheetId="8">VERIFMAJ!$C$1:$D$188</definedName>
    <definedName name="magie_interactive_et_jeux_divers_no174_158" localSheetId="8">VERIFMAJ!$C$1:$D$179</definedName>
    <definedName name="magie_interactive_et_jeux_divers_no174_159" localSheetId="8">VERIFMAJ!$C$1:$D$179</definedName>
    <definedName name="magie_interactive_et_jeux_divers_no174_16" localSheetId="8">VERIFMAJ!$G$1:$H$187</definedName>
    <definedName name="magie_interactive_et_jeux_divers_no174_160" localSheetId="8">VERIFMAJ!$C$1:$D$179</definedName>
    <definedName name="magie_interactive_et_jeux_divers_no174_161" localSheetId="8">VERIFMAJ!$C$1:$D$179</definedName>
    <definedName name="magie_interactive_et_jeux_divers_no174_162" localSheetId="8">VERIFMAJ!$C$1:$D$179</definedName>
    <definedName name="magie_interactive_et_jeux_divers_no174_163" localSheetId="8">VERIFMAJ!$C$1:$D$179</definedName>
    <definedName name="magie_interactive_et_jeux_divers_no174_164" localSheetId="8">VERIFMAJ!$C$1:$D$179</definedName>
    <definedName name="magie_interactive_et_jeux_divers_no174_165" localSheetId="8">VERIFMAJ!$C$1:$D$179</definedName>
    <definedName name="magie_interactive_et_jeux_divers_no174_166" localSheetId="8">VERIFMAJ!$C$1:$D$179</definedName>
    <definedName name="magie_interactive_et_jeux_divers_no174_167" localSheetId="8">VERIFMAJ!$C$1:$D$179</definedName>
    <definedName name="magie_interactive_et_jeux_divers_no174_168" localSheetId="8">VERIFMAJ!$C$1:$D$179</definedName>
    <definedName name="magie_interactive_et_jeux_divers_no174_169" localSheetId="8">VERIFMAJ!$C$1:$D$179</definedName>
    <definedName name="magie_interactive_et_jeux_divers_no174_17" localSheetId="8">VERIFMAJ!$G$1:$H$187</definedName>
    <definedName name="magie_interactive_et_jeux_divers_no174_170" localSheetId="8">VERIFMAJ!$C$1:$D$179</definedName>
    <definedName name="magie_interactive_et_jeux_divers_no174_171" localSheetId="8">VERIFMAJ!$C$1:$D$179</definedName>
    <definedName name="magie_interactive_et_jeux_divers_no174_172" localSheetId="8">VERIFMAJ!$C$1:$D$179</definedName>
    <definedName name="magie_interactive_et_jeux_divers_no174_173" localSheetId="8">VERIFMAJ!$C$1:$D$179</definedName>
    <definedName name="magie_interactive_et_jeux_divers_no174_174" localSheetId="8">VERIFMAJ!$C$1:$D$179</definedName>
    <definedName name="magie_interactive_et_jeux_divers_no174_175" localSheetId="8">VERIFMAJ!$C$1:$D$179</definedName>
    <definedName name="magie_interactive_et_jeux_divers_no174_176" localSheetId="8">VERIFMAJ!$C$1:$D$179</definedName>
    <definedName name="magie_interactive_et_jeux_divers_no174_177" localSheetId="8">VERIFMAJ!$C$1:$D$179</definedName>
    <definedName name="magie_interactive_et_jeux_divers_no174_178" localSheetId="8">VERIFMAJ!$C$1:$D$179</definedName>
    <definedName name="magie_interactive_et_jeux_divers_no174_179" localSheetId="8">VERIFMAJ!$C$1:$D$179</definedName>
    <definedName name="magie_interactive_et_jeux_divers_no174_18" localSheetId="8">VERIFMAJ!$G$1:$H$187</definedName>
    <definedName name="magie_interactive_et_jeux_divers_no174_180" localSheetId="8">VERIFMAJ!$C$1:$D$179</definedName>
    <definedName name="magie_interactive_et_jeux_divers_no174_181" localSheetId="8">VERIFMAJ!$C$1:$D$179</definedName>
    <definedName name="magie_interactive_et_jeux_divers_no174_182" localSheetId="8">VERIFMAJ!$C$1:$D$179</definedName>
    <definedName name="magie_interactive_et_jeux_divers_no174_183" localSheetId="8">VERIFMAJ!$C$1:$D$179</definedName>
    <definedName name="magie_interactive_et_jeux_divers_no174_184" localSheetId="8">VERIFMAJ!$C$1:$D$179</definedName>
    <definedName name="magie_interactive_et_jeux_divers_no174_185" localSheetId="8">VERIFMAJ!$C$1:$D$179</definedName>
    <definedName name="magie_interactive_et_jeux_divers_no174_186" localSheetId="8">VERIFMAJ!$C$1:$D$179</definedName>
    <definedName name="magie_interactive_et_jeux_divers_no174_187" localSheetId="8">VERIFMAJ!$C$1:$D$179</definedName>
    <definedName name="magie_interactive_et_jeux_divers_no174_188" localSheetId="8">VERIFMAJ!$C$1:$D$179</definedName>
    <definedName name="magie_interactive_et_jeux_divers_no174_189" localSheetId="8">VERIFMAJ!$C$1:$D$179</definedName>
    <definedName name="magie_interactive_et_jeux_divers_no174_19" localSheetId="8">VERIFMAJ!$G$1:$H$187</definedName>
    <definedName name="magie_interactive_et_jeux_divers_no174_190" localSheetId="8">VERIFMAJ!$C$1:$D$179</definedName>
    <definedName name="magie_interactive_et_jeux_divers_no174_191" localSheetId="8">VERIFMAJ!$C$1:$D$179</definedName>
    <definedName name="magie_interactive_et_jeux_divers_no174_192" localSheetId="8">VERIFMAJ!$C$1:$D$179</definedName>
    <definedName name="magie_interactive_et_jeux_divers_no174_193" localSheetId="8">VERIFMAJ!$C$1:$D$179</definedName>
    <definedName name="magie_interactive_et_jeux_divers_no174_194" localSheetId="8">VERIFMAJ!$C$1:$D$179</definedName>
    <definedName name="magie_interactive_et_jeux_divers_no174_195" localSheetId="8">VERIFMAJ!$C$1:$D$179</definedName>
    <definedName name="magie_interactive_et_jeux_divers_no174_196" localSheetId="8">VERIFMAJ!$C$1:$D$179</definedName>
    <definedName name="magie_interactive_et_jeux_divers_no174_197" localSheetId="8">VERIFMAJ!$C$1:$D$179</definedName>
    <definedName name="magie_interactive_et_jeux_divers_no174_198" localSheetId="8">VERIFMAJ!$C$1:$D$179</definedName>
    <definedName name="magie_interactive_et_jeux_divers_no174_199" localSheetId="8">VERIFMAJ!$C$1:$D$179</definedName>
    <definedName name="magie_interactive_et_jeux_divers_no174_2" localSheetId="8">VERIFMAJ!$G$1:$H$187</definedName>
    <definedName name="magie_interactive_et_jeux_divers_no174_20" localSheetId="8">VERIFMAJ!$G$1:$H$187</definedName>
    <definedName name="magie_interactive_et_jeux_divers_no174_200" localSheetId="8">VERIFMAJ!$C$1:$D$179</definedName>
    <definedName name="magie_interactive_et_jeux_divers_no174_201" localSheetId="8">VERIFMAJ!$C$1:$D$179</definedName>
    <definedName name="magie_interactive_et_jeux_divers_no174_202" localSheetId="8">VERIFMAJ!$C$1:$D$179</definedName>
    <definedName name="magie_interactive_et_jeux_divers_no174_203" localSheetId="8">VERIFMAJ!$C$1:$D$179</definedName>
    <definedName name="magie_interactive_et_jeux_divers_no174_204" localSheetId="8">VERIFMAJ!$C$1:$D$179</definedName>
    <definedName name="magie_interactive_et_jeux_divers_no174_205" localSheetId="8">VERIFMAJ!$C$1:$D$179</definedName>
    <definedName name="magie_interactive_et_jeux_divers_no174_206" localSheetId="8">VERIFMAJ!$C$1:$D$179</definedName>
    <definedName name="magie_interactive_et_jeux_divers_no174_207" localSheetId="8">VERIFMAJ!$C$1:$D$179</definedName>
    <definedName name="magie_interactive_et_jeux_divers_no174_208" localSheetId="8">VERIFMAJ!$C$1:$D$179</definedName>
    <definedName name="magie_interactive_et_jeux_divers_no174_209" localSheetId="8">VERIFMAJ!$C$1:$D$179</definedName>
    <definedName name="magie_interactive_et_jeux_divers_no174_21" localSheetId="8">VERIFMAJ!$G$1:$H$187</definedName>
    <definedName name="magie_interactive_et_jeux_divers_no174_210" localSheetId="8">VERIFMAJ!$C$1:$D$179</definedName>
    <definedName name="magie_interactive_et_jeux_divers_no174_211" localSheetId="8">VERIFMAJ!$C$1:$D$179</definedName>
    <definedName name="magie_interactive_et_jeux_divers_no174_212" localSheetId="8">VERIFMAJ!$C$1:$D$179</definedName>
    <definedName name="magie_interactive_et_jeux_divers_no174_213" localSheetId="8">VERIFMAJ!$C$1:$D$179</definedName>
    <definedName name="magie_interactive_et_jeux_divers_no174_214" localSheetId="8">VERIFMAJ!$C$1:$D$179</definedName>
    <definedName name="magie_interactive_et_jeux_divers_no174_215" localSheetId="8">VERIFMAJ!$C$1:$D$179</definedName>
    <definedName name="magie_interactive_et_jeux_divers_no174_216" localSheetId="8">VERIFMAJ!$C$1:$D$179</definedName>
    <definedName name="magie_interactive_et_jeux_divers_no174_217" localSheetId="8">VERIFMAJ!$C$1:$D$179</definedName>
    <definedName name="magie_interactive_et_jeux_divers_no174_218" localSheetId="8">VERIFMAJ!$C$1:$D$179</definedName>
    <definedName name="magie_interactive_et_jeux_divers_no174_219" localSheetId="8">VERIFMAJ!$C$1:$D$179</definedName>
    <definedName name="magie_interactive_et_jeux_divers_no174_22" localSheetId="8">VERIFMAJ!$G$1:$H$187</definedName>
    <definedName name="magie_interactive_et_jeux_divers_no174_220" localSheetId="8">VERIFMAJ!$C$1:$D$179</definedName>
    <definedName name="magie_interactive_et_jeux_divers_no174_221" localSheetId="8">VERIFMAJ!$C$1:$D$179</definedName>
    <definedName name="magie_interactive_et_jeux_divers_no174_222" localSheetId="8">VERIFMAJ!$C$1:$D$179</definedName>
    <definedName name="magie_interactive_et_jeux_divers_no174_223" localSheetId="8">VERIFMAJ!$C$1:$D$179</definedName>
    <definedName name="magie_interactive_et_jeux_divers_no174_224" localSheetId="8">VERIFMAJ!$C$1:$D$179</definedName>
    <definedName name="magie_interactive_et_jeux_divers_no174_225" localSheetId="8">VERIFMAJ!$C$1:$D$179</definedName>
    <definedName name="magie_interactive_et_jeux_divers_no174_226" localSheetId="8">VERIFMAJ!$C$1:$D$179</definedName>
    <definedName name="magie_interactive_et_jeux_divers_no174_227" localSheetId="8">VERIFMAJ!$C$1:$D$179</definedName>
    <definedName name="magie_interactive_et_jeux_divers_no174_228" localSheetId="8">VERIFMAJ!$C$1:$D$179</definedName>
    <definedName name="magie_interactive_et_jeux_divers_no174_229" localSheetId="8">VERIFMAJ!$C$1:$D$179</definedName>
    <definedName name="magie_interactive_et_jeux_divers_no174_23" localSheetId="8">VERIFMAJ!$G$1:$H$187</definedName>
    <definedName name="magie_interactive_et_jeux_divers_no174_230" localSheetId="8">VERIFMAJ!$C$1:$D$179</definedName>
    <definedName name="magie_interactive_et_jeux_divers_no174_231" localSheetId="8">VERIFMAJ!$C$1:$D$179</definedName>
    <definedName name="magie_interactive_et_jeux_divers_no174_232" localSheetId="8">VERIFMAJ!$C$1:$D$179</definedName>
    <definedName name="magie_interactive_et_jeux_divers_no174_233" localSheetId="8">VERIFMAJ!$C$1:$D$179</definedName>
    <definedName name="magie_interactive_et_jeux_divers_no174_234" localSheetId="8">VERIFMAJ!$C$1:$D$179</definedName>
    <definedName name="magie_interactive_et_jeux_divers_no174_235" localSheetId="8">VERIFMAJ!$C$1:$D$179</definedName>
    <definedName name="magie_interactive_et_jeux_divers_no174_236" localSheetId="8">VERIFMAJ!$C$1:$D$179</definedName>
    <definedName name="magie_interactive_et_jeux_divers_no174_237" localSheetId="8">VERIFMAJ!$C$1:$D$179</definedName>
    <definedName name="magie_interactive_et_jeux_divers_no174_24" localSheetId="8">VERIFMAJ!$G$1:$H$187</definedName>
    <definedName name="magie_interactive_et_jeux_divers_no174_240" localSheetId="8">VERIFMAJ!$C$1:$F$348</definedName>
    <definedName name="magie_interactive_et_jeux_divers_no174_242" localSheetId="8">VERIFMAJ!$C$1:$D$179</definedName>
    <definedName name="magie_interactive_et_jeux_divers_no174_243" localSheetId="8">VERIFMAJ!$C$1:$D$179</definedName>
    <definedName name="magie_interactive_et_jeux_divers_no174_244" localSheetId="8">VERIFMAJ!$C$1:$D$179</definedName>
    <definedName name="magie_interactive_et_jeux_divers_no174_245" localSheetId="8">VERIFMAJ!$C$1:$D$179</definedName>
    <definedName name="magie_interactive_et_jeux_divers_no174_246" localSheetId="8">VERIFMAJ!$C$1:$D$179</definedName>
    <definedName name="magie_interactive_et_jeux_divers_no174_247" localSheetId="8">VERIFMAJ!$C$1:$D$179</definedName>
    <definedName name="magie_interactive_et_jeux_divers_no174_248" localSheetId="8">VERIFMAJ!$C$1:$D$179</definedName>
    <definedName name="magie_interactive_et_jeux_divers_no174_249" localSheetId="8">VERIFMAJ!$C$1:$D$179</definedName>
    <definedName name="magie_interactive_et_jeux_divers_no174_25" localSheetId="8">VERIFMAJ!$G$1:$H$187</definedName>
    <definedName name="magie_interactive_et_jeux_divers_no174_250" localSheetId="8">VERIFMAJ!$C$1:$D$179</definedName>
    <definedName name="magie_interactive_et_jeux_divers_no174_251" localSheetId="8">VERIFMAJ!$C$1:$D$179</definedName>
    <definedName name="magie_interactive_et_jeux_divers_no174_252" localSheetId="8">VERIFMAJ!$C$1:$D$179</definedName>
    <definedName name="magie_interactive_et_jeux_divers_no174_253" localSheetId="8">VERIFMAJ!$C$1:$D$179</definedName>
    <definedName name="magie_interactive_et_jeux_divers_no174_254" localSheetId="8">VERIFMAJ!$C$1:$D$179</definedName>
    <definedName name="magie_interactive_et_jeux_divers_no174_255" localSheetId="8">VERIFMAJ!$C$1:$D$179</definedName>
    <definedName name="magie_interactive_et_jeux_divers_no174_256" localSheetId="8">VERIFMAJ!$C$1:$D$179</definedName>
    <definedName name="magie_interactive_et_jeux_divers_no174_257" localSheetId="8">VERIFMAJ!$C$1:$D$179</definedName>
    <definedName name="magie_interactive_et_jeux_divers_no174_258" localSheetId="8">VERIFMAJ!$C$1:$D$180</definedName>
    <definedName name="magie_interactive_et_jeux_divers_no174_259" localSheetId="8">VERIFMAJ!$C$1:$D$180</definedName>
    <definedName name="magie_interactive_et_jeux_divers_no174_26" localSheetId="8">VERIFMAJ!$G$1:$H$187</definedName>
    <definedName name="magie_interactive_et_jeux_divers_no174_260" localSheetId="8">VERIFMAJ!$C$1:$D$180</definedName>
    <definedName name="magie_interactive_et_jeux_divers_no174_261" localSheetId="8">VERIFMAJ!$C$1:$D$180</definedName>
    <definedName name="magie_interactive_et_jeux_divers_no174_262" localSheetId="8">VERIFMAJ!$C$1:$D$180</definedName>
    <definedName name="magie_interactive_et_jeux_divers_no174_263" localSheetId="8">VERIFMAJ!$C$1:$D$179</definedName>
    <definedName name="magie_interactive_et_jeux_divers_no174_264" localSheetId="8">VERIFMAJ!$C$1:$D$179</definedName>
    <definedName name="magie_interactive_et_jeux_divers_no174_265" localSheetId="8">VERIFMAJ!$C$1:$D$179</definedName>
    <definedName name="magie_interactive_et_jeux_divers_no174_266" localSheetId="8">VERIFMAJ!$C$1:$D$179</definedName>
    <definedName name="magie_interactive_et_jeux_divers_no174_267" localSheetId="8">VERIFMAJ!$C$1:$D$179</definedName>
    <definedName name="magie_interactive_et_jeux_divers_no174_268" localSheetId="8">VERIFMAJ!$C$1:$D$179</definedName>
    <definedName name="magie_interactive_et_jeux_divers_no174_269" localSheetId="8">VERIFMAJ!$C$1:$D$179</definedName>
    <definedName name="magie_interactive_et_jeux_divers_no174_27" localSheetId="8">VERIFMAJ!$G$1:$H$187</definedName>
    <definedName name="magie_interactive_et_jeux_divers_no174_270" localSheetId="8">VERIFMAJ!$C$1:$D$179</definedName>
    <definedName name="magie_interactive_et_jeux_divers_no174_271" localSheetId="8">VERIFMAJ!$C$1:$D$179</definedName>
    <definedName name="magie_interactive_et_jeux_divers_no174_272" localSheetId="8">VERIFMAJ!$C$1:$D$179</definedName>
    <definedName name="magie_interactive_et_jeux_divers_no174_273" localSheetId="8">VERIFMAJ!$C$1:$D$181</definedName>
    <definedName name="magie_interactive_et_jeux_divers_no174_274" localSheetId="8">VERIFMAJ!$C$1:$D$181</definedName>
    <definedName name="magie_interactive_et_jeux_divers_no174_275" localSheetId="8">VERIFMAJ!$C$1:$D$181</definedName>
    <definedName name="magie_interactive_et_jeux_divers_no174_276" localSheetId="8">VERIFMAJ!$C$1:$D$181</definedName>
    <definedName name="magie_interactive_et_jeux_divers_no174_277" localSheetId="8">VERIFMAJ!$C$1:$D$181</definedName>
    <definedName name="magie_interactive_et_jeux_divers_no174_278" localSheetId="8">VERIFMAJ!$C$1:$D$181</definedName>
    <definedName name="magie_interactive_et_jeux_divers_no174_279" localSheetId="8">VERIFMAJ!$C$1:$D$181</definedName>
    <definedName name="magie_interactive_et_jeux_divers_no174_28" localSheetId="8">VERIFMAJ!$G$1:$H$187</definedName>
    <definedName name="magie_interactive_et_jeux_divers_no174_280" localSheetId="8">VERIFMAJ!$C$1:$D$181</definedName>
    <definedName name="magie_interactive_et_jeux_divers_no174_281" localSheetId="8">VERIFMAJ!$C$1:$D$181</definedName>
    <definedName name="magie_interactive_et_jeux_divers_no174_282" localSheetId="8">VERIFMAJ!$C$1:$D$181</definedName>
    <definedName name="magie_interactive_et_jeux_divers_no174_283" localSheetId="8">VERIFMAJ!$C$1:$D$181</definedName>
    <definedName name="magie_interactive_et_jeux_divers_no174_284" localSheetId="8">VERIFMAJ!$C$1:$D$181</definedName>
    <definedName name="magie_interactive_et_jeux_divers_no174_285" localSheetId="8">VERIFMAJ!$C$1:$D$181</definedName>
    <definedName name="magie_interactive_et_jeux_divers_no174_286" localSheetId="8">VERIFMAJ!$C$1:$D$181</definedName>
    <definedName name="magie_interactive_et_jeux_divers_no174_287" localSheetId="8">VERIFMAJ!$C$1:$D$181</definedName>
    <definedName name="magie_interactive_et_jeux_divers_no174_288" localSheetId="8">VERIFMAJ!$C$1:$D$181</definedName>
    <definedName name="magie_interactive_et_jeux_divers_no174_289" localSheetId="8">VERIFMAJ!$C$1:$D$181</definedName>
    <definedName name="magie_interactive_et_jeux_divers_no174_29" localSheetId="8">VERIFMAJ!$G$1:$H$187</definedName>
    <definedName name="magie_interactive_et_jeux_divers_no174_290" localSheetId="8">VERIFMAJ!$C$1:$D$181</definedName>
    <definedName name="magie_interactive_et_jeux_divers_no174_291" localSheetId="8">VERIFMAJ!$C$1:$D$181</definedName>
    <definedName name="magie_interactive_et_jeux_divers_no174_292" localSheetId="8">VERIFMAJ!$C$1:$D$181</definedName>
    <definedName name="magie_interactive_et_jeux_divers_no174_293" localSheetId="8">VERIFMAJ!$C$1:$D$181</definedName>
    <definedName name="magie_interactive_et_jeux_divers_no174_294" localSheetId="8">VERIFMAJ!$C$1:$D$181</definedName>
    <definedName name="magie_interactive_et_jeux_divers_no174_295" localSheetId="8">VERIFMAJ!$C$1:$D$181</definedName>
    <definedName name="magie_interactive_et_jeux_divers_no174_296" localSheetId="8">VERIFMAJ!$C$1:$D$181</definedName>
    <definedName name="magie_interactive_et_jeux_divers_no174_297" localSheetId="8">VERIFMAJ!$C$1:$D$181</definedName>
    <definedName name="magie_interactive_et_jeux_divers_no174_298" localSheetId="8">VERIFMAJ!$C$1:$D$181</definedName>
    <definedName name="magie_interactive_et_jeux_divers_no174_299" localSheetId="8">VERIFMAJ!$C$1:$D$181</definedName>
    <definedName name="magie_interactive_et_jeux_divers_no174_3" localSheetId="8">VERIFMAJ!$G$1:$H$187</definedName>
    <definedName name="magie_interactive_et_jeux_divers_no174_30" localSheetId="8">VERIFMAJ!$G$1:$H$187</definedName>
    <definedName name="magie_interactive_et_jeux_divers_no174_300" localSheetId="8">VERIFMAJ!$C$1:$D$181</definedName>
    <definedName name="magie_interactive_et_jeux_divers_no174_301" localSheetId="8">VERIFMAJ!$A$1:$B$181</definedName>
    <definedName name="magie_interactive_et_jeux_divers_no174_302" localSheetId="8">VERIFMAJ!$A$1:$B$181</definedName>
    <definedName name="magie_interactive_et_jeux_divers_no174_303" localSheetId="8">VERIFMAJ!$A$1:$B$181</definedName>
    <definedName name="magie_interactive_et_jeux_divers_no174_304" localSheetId="8">VERIFMAJ!$A$1:$B$181</definedName>
    <definedName name="magie_interactive_et_jeux_divers_no174_305" localSheetId="8">VERIFMAJ!$A$1:$B$181</definedName>
    <definedName name="magie_interactive_et_jeux_divers_no174_306" localSheetId="8">VERIFMAJ!$A$1:$B$181</definedName>
    <definedName name="magie_interactive_et_jeux_divers_no174_307" localSheetId="8">VERIFMAJ!$A$1:$B$181</definedName>
    <definedName name="magie_interactive_et_jeux_divers_no174_31" localSheetId="8">VERIFMAJ!$G$1:$H$187</definedName>
    <definedName name="magie_interactive_et_jeux_divers_no174_32" localSheetId="8">VERIFMAJ!$G$1:$H$187</definedName>
    <definedName name="magie_interactive_et_jeux_divers_no174_33" localSheetId="8">VERIFMAJ!$G$1:$H$187</definedName>
    <definedName name="magie_interactive_et_jeux_divers_no174_34" localSheetId="8">VERIFMAJ!$G$1:$H$187</definedName>
    <definedName name="magie_interactive_et_jeux_divers_no174_35" localSheetId="8">VERIFMAJ!$G$1:$H$187</definedName>
    <definedName name="magie_interactive_et_jeux_divers_no174_36" localSheetId="8">VERIFMAJ!$G$1:$H$187</definedName>
    <definedName name="magie_interactive_et_jeux_divers_no174_37" localSheetId="8">VERIFMAJ!$G$1:$H$187</definedName>
    <definedName name="magie_interactive_et_jeux_divers_no174_38" localSheetId="8">VERIFMAJ!$G$1:$H$187</definedName>
    <definedName name="magie_interactive_et_jeux_divers_no174_39" localSheetId="8">VERIFMAJ!$G$1:$H$187</definedName>
    <definedName name="magie_interactive_et_jeux_divers_no174_4" localSheetId="8">VERIFMAJ!$G$1:$H$187</definedName>
    <definedName name="magie_interactive_et_jeux_divers_no174_40" localSheetId="8">VERIFMAJ!$G$1:$H$187</definedName>
    <definedName name="magie_interactive_et_jeux_divers_no174_41" localSheetId="8">VERIFMAJ!$G$1:$H$187</definedName>
    <definedName name="magie_interactive_et_jeux_divers_no174_42" localSheetId="8">VERIFMAJ!$G$1:$H$187</definedName>
    <definedName name="magie_interactive_et_jeux_divers_no174_43" localSheetId="8">VERIFMAJ!$G$1:$H$187</definedName>
    <definedName name="magie_interactive_et_jeux_divers_no174_44" localSheetId="8">VERIFMAJ!$G$1:$H$187</definedName>
    <definedName name="magie_interactive_et_jeux_divers_no174_45" localSheetId="8">VERIFMAJ!$G$1:$H$187</definedName>
    <definedName name="magie_interactive_et_jeux_divers_no174_46" localSheetId="8">VERIFMAJ!$G$1:$H$187</definedName>
    <definedName name="magie_interactive_et_jeux_divers_no174_47" localSheetId="8">VERIFMAJ!$G$1:$H$187</definedName>
    <definedName name="magie_interactive_et_jeux_divers_no174_48" localSheetId="8">VERIFMAJ!$G$1:$H$187</definedName>
    <definedName name="magie_interactive_et_jeux_divers_no174_49" localSheetId="8">VERIFMAJ!$F$1:$G$187</definedName>
    <definedName name="magie_interactive_et_jeux_divers_no174_5" localSheetId="8">VERIFMAJ!$G$1:$H$187</definedName>
    <definedName name="magie_interactive_et_jeux_divers_no174_50" localSheetId="8">VERIFMAJ!$E$1:$F$187</definedName>
    <definedName name="magie_interactive_et_jeux_divers_no174_51" localSheetId="8">VERIFMAJ!$D$1:$E$187</definedName>
    <definedName name="magie_interactive_et_jeux_divers_no174_52" localSheetId="8">VERIFMAJ!$C$1:$D$187</definedName>
    <definedName name="magie_interactive_et_jeux_divers_no174_53" localSheetId="8">VERIFMAJ!$C$1:$D$187</definedName>
    <definedName name="magie_interactive_et_jeux_divers_no174_54" localSheetId="8">VERIFMAJ!$C$1:$D$187</definedName>
    <definedName name="magie_interactive_et_jeux_divers_no174_55" localSheetId="8">VERIFMAJ!$C$1:$D$187</definedName>
    <definedName name="magie_interactive_et_jeux_divers_no174_56" localSheetId="8">VERIFMAJ!$C$1:$D$187</definedName>
    <definedName name="magie_interactive_et_jeux_divers_no174_57" localSheetId="8">VERIFMAJ!$C$1:$D$187</definedName>
    <definedName name="magie_interactive_et_jeux_divers_no174_58" localSheetId="8">VERIFMAJ!$C$1:$D$187</definedName>
    <definedName name="magie_interactive_et_jeux_divers_no174_59" localSheetId="8">VERIFMAJ!$C$1:$D$187</definedName>
    <definedName name="magie_interactive_et_jeux_divers_no174_6" localSheetId="8">VERIFMAJ!$G$1:$H$187</definedName>
    <definedName name="magie_interactive_et_jeux_divers_no174_60" localSheetId="8">VERIFMAJ!$C$1:$D$187</definedName>
    <definedName name="magie_interactive_et_jeux_divers_no174_61" localSheetId="8">VERIFMAJ!$C$1:$D$187</definedName>
    <definedName name="magie_interactive_et_jeux_divers_no174_62" localSheetId="8">VERIFMAJ!$C$1:$D$187</definedName>
    <definedName name="magie_interactive_et_jeux_divers_no174_63" localSheetId="8">VERIFMAJ!$C$1:$D$187</definedName>
    <definedName name="magie_interactive_et_jeux_divers_no174_64" localSheetId="8">VERIFMAJ!$C$1:$D$187</definedName>
    <definedName name="magie_interactive_et_jeux_divers_no174_65" localSheetId="8">VERIFMAJ!$C$1:$D$187</definedName>
    <definedName name="magie_interactive_et_jeux_divers_no174_66" localSheetId="8">VERIFMAJ!$C$1:$D$187</definedName>
    <definedName name="magie_interactive_et_jeux_divers_no174_67" localSheetId="8">VERIFMAJ!$C$1:$D$187</definedName>
    <definedName name="magie_interactive_et_jeux_divers_no174_68" localSheetId="8">VERIFMAJ!$C$1:$D$187</definedName>
    <definedName name="magie_interactive_et_jeux_divers_no174_69" localSheetId="8">VERIFMAJ!$C$1:$D$187</definedName>
    <definedName name="magie_interactive_et_jeux_divers_no174_7" localSheetId="8">VERIFMAJ!$G$1:$H$187</definedName>
    <definedName name="magie_interactive_et_jeux_divers_no174_70" localSheetId="8">VERIFMAJ!$C$1:$D$187</definedName>
    <definedName name="magie_interactive_et_jeux_divers_no174_71" localSheetId="8">VERIFMAJ!$C$1:$D$187</definedName>
    <definedName name="magie_interactive_et_jeux_divers_no174_72" localSheetId="8">VERIFMAJ!$C$1:$D$187</definedName>
    <definedName name="magie_interactive_et_jeux_divers_no174_73" localSheetId="8">VERIFMAJ!$C$1:$D$187</definedName>
    <definedName name="magie_interactive_et_jeux_divers_no174_74" localSheetId="8">VERIFMAJ!$C$1:$D$187</definedName>
    <definedName name="magie_interactive_et_jeux_divers_no174_75" localSheetId="8">VERIFMAJ!$C$1:$D$187</definedName>
    <definedName name="magie_interactive_et_jeux_divers_no174_76" localSheetId="8">VERIFMAJ!$C$1:$D$187</definedName>
    <definedName name="magie_interactive_et_jeux_divers_no174_77" localSheetId="8">VERIFMAJ!$C$1:$D$187</definedName>
    <definedName name="magie_interactive_et_jeux_divers_no174_78" localSheetId="8">VERIFMAJ!$C$1:$D$187</definedName>
    <definedName name="magie_interactive_et_jeux_divers_no174_79" localSheetId="8">VERIFMAJ!$C$1:$D$187</definedName>
    <definedName name="magie_interactive_et_jeux_divers_no174_8" localSheetId="8">VERIFMAJ!$G$1:$H$187</definedName>
    <definedName name="magie_interactive_et_jeux_divers_no174_80" localSheetId="8">VERIFMAJ!$C$1:$D$187</definedName>
    <definedName name="magie_interactive_et_jeux_divers_no174_81" localSheetId="8">VERIFMAJ!$C$1:$D$187</definedName>
    <definedName name="magie_interactive_et_jeux_divers_no174_82" localSheetId="8">VERIFMAJ!$C$1:$D$187</definedName>
    <definedName name="magie_interactive_et_jeux_divers_no174_83" localSheetId="8">VERIFMAJ!$C$1:$D$187</definedName>
    <definedName name="magie_interactive_et_jeux_divers_no174_84" localSheetId="8">VERIFMAJ!$C$1:$D$187</definedName>
    <definedName name="magie_interactive_et_jeux_divers_no174_85" localSheetId="8">VERIFMAJ!$C$1:$D$187</definedName>
    <definedName name="magie_interactive_et_jeux_divers_no174_86" localSheetId="8">VERIFMAJ!$C$1:$D$187</definedName>
    <definedName name="magie_interactive_et_jeux_divers_no174_87" localSheetId="8">VERIFMAJ!$C$1:$D$187</definedName>
    <definedName name="magie_interactive_et_jeux_divers_no174_88" localSheetId="8">VERIFMAJ!$C$1:$D$187</definedName>
    <definedName name="magie_interactive_et_jeux_divers_no174_89" localSheetId="8">VERIFMAJ!$C$1:$D$187</definedName>
    <definedName name="magie_interactive_et_jeux_divers_no174_9" localSheetId="8">VERIFMAJ!$G$1:$H$187</definedName>
    <definedName name="magie_interactive_et_jeux_divers_no174_90" localSheetId="8">VERIFMAJ!$C$1:$D$187</definedName>
    <definedName name="magie_interactive_et_jeux_divers_no174_91" localSheetId="8">VERIFMAJ!$C$1:$D$187</definedName>
    <definedName name="magie_interactive_et_jeux_divers_no174_92" localSheetId="8">VERIFMAJ!$C$1:$D$187</definedName>
    <definedName name="magie_interactive_et_jeux_divers_no174_93" localSheetId="8">VERIFMAJ!$C$1:$D$187</definedName>
    <definedName name="magie_interactive_et_jeux_divers_no174_94" localSheetId="8">VERIFMAJ!$C$1:$D$187</definedName>
    <definedName name="magie_interactive_et_jeux_divers_no174_95" localSheetId="8">VERIFMAJ!$C$1:$D$187</definedName>
    <definedName name="magie_interactive_et_jeux_divers_no174_96" localSheetId="8">VERIFMAJ!$C$1:$D$187</definedName>
    <definedName name="magie_interactive_et_jeux_divers_no174_97" localSheetId="8">VERIFMAJ!$C$1:$D$187</definedName>
    <definedName name="magie_interactive_et_jeux_divers_no174_98" localSheetId="8">VERIFMAJ!$C$1:$D$187</definedName>
    <definedName name="magie_interactive_et_jeux_divers_no174_99" localSheetId="8">VERIFMAJ!$C$1:$D$187</definedName>
    <definedName name="Mout">'SOMMAIRE SIGNE ASTRO'!$P$13:$P$14</definedName>
    <definedName name="Osiris">'SOMMAIRE SIGNE ASTRO'!$Q$13:$Q$14</definedName>
    <definedName name="Poissons">'SOMMAIRE SIGNE ASTRO'!$T$9</definedName>
    <definedName name="Rat">'SOMMAIRE SIGNE ASTRO'!$I$20:$I$24</definedName>
    <definedName name="Rat_El._Bois">'SOMMAIRE SIGNE ASTRO'!$K$30:$K$31</definedName>
    <definedName name="Rat_El._Eau">'SOMMAIRE SIGNE ASTRO'!$J$30:$J$31</definedName>
    <definedName name="Rat_El._Feu">'SOMMAIRE SIGNE ASTRO'!$L$30:$L$31</definedName>
    <definedName name="Rat_El._Métal">'SOMMAIRE SIGNE ASTRO'!$I$30:$I$31</definedName>
    <definedName name="Rat_El._Terre">'SOMMAIRE SIGNE ASTRO'!$M$30:$M$31</definedName>
    <definedName name="Sagittaire">'SOMMAIRE SIGNE ASTRO'!$Q$9</definedName>
    <definedName name="Scorpion">'SOMMAIRE SIGNE ASTRO'!$P$9</definedName>
    <definedName name="Sekhmet">'SOMMAIRE SIGNE ASTRO'!$R$13:$R$14</definedName>
    <definedName name="Serpent">'SOMMAIRE SIGNE ASTRO'!$N$20:$N$24</definedName>
    <definedName name="Serpent_El._Bois">'SOMMAIRE SIGNE ASTRO'!$AH$30:$AH$31</definedName>
    <definedName name="Serpent_El._Eau">'SOMMAIRE SIGNE ASTRO'!$AL$30:$AL$31</definedName>
    <definedName name="Serpent_El._Feu">'SOMMAIRE SIGNE ASTRO'!$AI$30:$AI$31</definedName>
    <definedName name="Serpent_El._Métal">'SOMMAIRE SIGNE ASTRO'!$AK$30:$AK$31</definedName>
    <definedName name="Serpent_El._Terre">'SOMMAIRE SIGNE ASTRO'!$AJ$30:$AJ$31</definedName>
    <definedName name="Seth">'SOMMAIRE SIGNE ASTRO'!$S$13:$S$14</definedName>
    <definedName name="Signes_CHINOIS">'SOMMAIRE SIGNE ASTRO'!$F$9:$F$20</definedName>
    <definedName name="Signes_EGYPTIEN">'SOMMAIRE SIGNE ASTRO'!$G$9:$G$20</definedName>
    <definedName name="Signes_ZODIAC">'SOMMAIRE SIGNE ASTRO'!$E$9:$E$20</definedName>
    <definedName name="Singe">'SOMMAIRE SIGNE ASTRO'!$Q$20:$Q$24</definedName>
    <definedName name="Singe_El._Bois">'SOMMAIRE SIGNE ASTRO'!$AZ$30:$AZ$31</definedName>
    <definedName name="Singe_El._Eau">'SOMMAIRE SIGNE ASTRO'!$AY$30:$AY$31</definedName>
    <definedName name="Singe_El._Feu">'SOMMAIRE SIGNE ASTRO'!$BA$30:$BA$31</definedName>
    <definedName name="Singe_El._Métal">'SOMMAIRE SIGNE ASTRO'!$AX$30:$AX$31</definedName>
    <definedName name="Singe_El._Terre">'SOMMAIRE SIGNE ASTRO'!$AW$30:$AW$31</definedName>
    <definedName name="Taureau">'SOMMAIRE SIGNE ASTRO'!$J$9</definedName>
    <definedName name="Thot">'SOMMAIRE SIGNE ASTRO'!$T$13:$T$14</definedName>
    <definedName name="Tigre">'SOMMAIRE SIGNE ASTRO'!$K$20:$K$24</definedName>
    <definedName name="Tigre_El._Bois">'SOMMAIRE SIGNE ASTRO'!$T$30:$T$31</definedName>
    <definedName name="Tigre_El._Eau">'SOMMAIRE SIGNE ASTRO'!$S$30:$S$31</definedName>
    <definedName name="Tigre_El._Feu">'SOMMAIRE SIGNE ASTRO'!$U$30:$U$31</definedName>
    <definedName name="Tigre_El._Métal">'SOMMAIRE SIGNE ASTRO'!$W$30:$W$31</definedName>
    <definedName name="Tigre_El._Terre">'SOMMAIRE SIGNE ASTRO'!$V$30:$V$31</definedName>
    <definedName name="Verseau">'SOMMAIRE SIGNE ASTRO'!$S$9</definedName>
    <definedName name="Vierge">'SOMMAIRE SIGNE ASTRO'!$N$9</definedName>
    <definedName name="_xlnm.Print_Area" localSheetId="33">ILLUSIONS!$D$36:$E$36</definedName>
  </definedNames>
  <calcPr calcId="125725"/>
</workbook>
</file>

<file path=xl/calcChain.xml><?xml version="1.0" encoding="utf-8"?>
<calcChain xmlns="http://schemas.openxmlformats.org/spreadsheetml/2006/main">
  <c r="D10" i="47"/>
  <c r="T20"/>
  <c r="N22"/>
  <c r="O22"/>
  <c r="P22"/>
  <c r="Q22"/>
  <c r="R22"/>
  <c r="T25"/>
  <c r="T26"/>
  <c r="T27"/>
  <c r="T28"/>
  <c r="T29"/>
  <c r="N31"/>
  <c r="O31"/>
  <c r="P31"/>
  <c r="Q31"/>
  <c r="R31"/>
  <c r="T34"/>
  <c r="T35"/>
  <c r="T19"/>
  <c r="T18"/>
  <c r="T17"/>
  <c r="T16"/>
  <c r="L13" i="46"/>
  <c r="L24" s="1"/>
  <c r="A8" i="42" s="1"/>
  <c r="M2" i="47"/>
  <c r="M2" i="46"/>
  <c r="A6" i="42"/>
  <c r="O49" i="47"/>
  <c r="P49"/>
  <c r="Q49"/>
  <c r="R49"/>
  <c r="N49"/>
  <c r="T44"/>
  <c r="T45"/>
  <c r="T46"/>
  <c r="T47"/>
  <c r="T43"/>
  <c r="T6"/>
  <c r="T7"/>
  <c r="T8"/>
  <c r="T9"/>
  <c r="T10"/>
  <c r="N12"/>
  <c r="O12"/>
  <c r="P12"/>
  <c r="Q12"/>
  <c r="R12"/>
  <c r="T36"/>
  <c r="T37"/>
  <c r="T38"/>
  <c r="N40"/>
  <c r="O40"/>
  <c r="P40"/>
  <c r="Q40"/>
  <c r="R40"/>
  <c r="C14" i="4"/>
  <c r="C12"/>
  <c r="C11"/>
  <c r="C10"/>
  <c r="D8" i="47" l="1"/>
  <c r="T31"/>
  <c r="T22"/>
  <c r="T12"/>
  <c r="T49"/>
  <c r="G12"/>
  <c r="E12"/>
  <c r="G11"/>
  <c r="E11"/>
  <c r="G10"/>
  <c r="E10"/>
  <c r="G9"/>
  <c r="E9"/>
  <c r="G8"/>
  <c r="E8"/>
  <c r="E20" s="1"/>
  <c r="H12"/>
  <c r="F12"/>
  <c r="H11"/>
  <c r="F11"/>
  <c r="H10"/>
  <c r="F10"/>
  <c r="H9"/>
  <c r="F9"/>
  <c r="H8"/>
  <c r="F8"/>
  <c r="D11"/>
  <c r="D9"/>
  <c r="D12"/>
  <c r="B26" i="46"/>
  <c r="H23"/>
  <c r="B20"/>
  <c r="B24"/>
  <c r="B15"/>
  <c r="F23"/>
  <c r="E23"/>
  <c r="G23"/>
  <c r="T40" i="47"/>
  <c r="A14" i="4"/>
  <c r="C17"/>
  <c r="C37"/>
  <c r="B13" i="3"/>
  <c r="B11"/>
  <c r="B15" i="44"/>
  <c r="B16" s="1"/>
  <c r="B15" i="3"/>
  <c r="B16" s="1"/>
  <c r="B18" i="44"/>
  <c r="B11" i="43"/>
  <c r="B18" i="3"/>
  <c r="B11" i="44"/>
  <c r="B13"/>
  <c r="B9"/>
  <c r="B7"/>
  <c r="B6"/>
  <c r="B5"/>
  <c r="B4"/>
  <c r="A6" i="45"/>
  <c r="A4"/>
  <c r="J3" i="44"/>
  <c r="P21"/>
  <c r="P20"/>
  <c r="P19"/>
  <c r="P18"/>
  <c r="P17"/>
  <c r="P16"/>
  <c r="P15"/>
  <c r="P14"/>
  <c r="P13"/>
  <c r="P12"/>
  <c r="P11"/>
  <c r="P10"/>
  <c r="P9"/>
  <c r="P8"/>
  <c r="P7"/>
  <c r="P6"/>
  <c r="P5"/>
  <c r="P4"/>
  <c r="O1"/>
  <c r="L3" i="43"/>
  <c r="K3"/>
  <c r="A4" i="10"/>
  <c r="A1" i="43"/>
  <c r="E15"/>
  <c r="B7"/>
  <c r="D11"/>
  <c r="A5" i="10"/>
  <c r="A4" i="42"/>
  <c r="H20" i="47" l="1"/>
  <c r="F20"/>
  <c r="G20"/>
  <c r="B15"/>
  <c r="B3"/>
  <c r="B5" s="1"/>
  <c r="D20"/>
  <c r="L16"/>
  <c r="B17" s="1"/>
  <c r="I8" s="1"/>
  <c r="L12"/>
  <c r="L9"/>
  <c r="L10"/>
  <c r="L11"/>
  <c r="L8"/>
  <c r="A12" i="5"/>
  <c r="F14" i="47"/>
  <c r="E14"/>
  <c r="H14"/>
  <c r="G14"/>
  <c r="D14"/>
  <c r="A9" i="5"/>
  <c r="B5" i="43"/>
  <c r="I148" i="4"/>
  <c r="P20" i="3"/>
  <c r="P21"/>
  <c r="N14" i="27"/>
  <c r="N21"/>
  <c r="J3" i="3"/>
  <c r="A29" i="5"/>
  <c r="A10" i="33" s="1"/>
  <c r="A27" i="20"/>
  <c r="H6" i="33"/>
  <c r="F6"/>
  <c r="D3" i="28"/>
  <c r="C5" i="20"/>
  <c r="B4" i="3"/>
  <c r="B12" i="35"/>
  <c r="C12"/>
  <c r="A12"/>
  <c r="A2" i="14"/>
  <c r="A8" i="35"/>
  <c r="B9" i="3"/>
  <c r="B7"/>
  <c r="B6"/>
  <c r="B5"/>
  <c r="O1"/>
  <c r="P4"/>
  <c r="P5"/>
  <c r="P6"/>
  <c r="P7"/>
  <c r="P9"/>
  <c r="P10"/>
  <c r="P11"/>
  <c r="P12"/>
  <c r="P13"/>
  <c r="P14"/>
  <c r="P15"/>
  <c r="P16"/>
  <c r="P17"/>
  <c r="P18"/>
  <c r="P19"/>
  <c r="P8"/>
  <c r="L13" i="6"/>
  <c r="M13" s="1"/>
  <c r="L15"/>
  <c r="L11"/>
  <c r="M11" s="1"/>
  <c r="L9"/>
  <c r="M9" s="1"/>
  <c r="L3"/>
  <c r="A6" i="40"/>
  <c r="A36"/>
  <c r="G36"/>
  <c r="D36"/>
  <c r="A30"/>
  <c r="D30"/>
  <c r="G30"/>
  <c r="G25"/>
  <c r="D25"/>
  <c r="A25"/>
  <c r="G20"/>
  <c r="D20"/>
  <c r="A20"/>
  <c r="G15"/>
  <c r="D15"/>
  <c r="A15"/>
  <c r="G3"/>
  <c r="D3"/>
  <c r="A3"/>
  <c r="G6"/>
  <c r="D6"/>
  <c r="D8"/>
  <c r="D9"/>
  <c r="D7"/>
  <c r="A11"/>
  <c r="A10"/>
  <c r="A9"/>
  <c r="A8"/>
  <c r="A7"/>
  <c r="L14" i="47" l="1"/>
  <c r="H7" i="33"/>
  <c r="A1" i="3"/>
  <c r="A1" i="44"/>
  <c r="F7" i="33"/>
  <c r="N1" i="44"/>
  <c r="P1" s="1"/>
  <c r="B8" s="1"/>
  <c r="E11" i="43"/>
  <c r="C11"/>
  <c r="N1" i="3"/>
  <c r="P1" s="1"/>
  <c r="B8" s="1"/>
  <c r="J6" i="33"/>
  <c r="A13" i="35"/>
  <c r="N11" i="6"/>
  <c r="O11" s="1"/>
  <c r="P11" s="1"/>
  <c r="M15"/>
  <c r="N15" s="1"/>
  <c r="N13"/>
  <c r="O13" s="1"/>
  <c r="P13" s="1"/>
  <c r="N9"/>
  <c r="O9" s="1"/>
  <c r="M3"/>
  <c r="N3" s="1"/>
  <c r="A40" i="40"/>
  <c r="A18" i="5" s="1"/>
  <c r="I7" i="33" l="1"/>
  <c r="F11" i="43"/>
  <c r="H11" s="1"/>
  <c r="B13" s="1"/>
  <c r="C13" s="1"/>
  <c r="P9" i="6"/>
  <c r="O10" s="1"/>
  <c r="O15"/>
  <c r="P15" s="1"/>
  <c r="N16" s="1"/>
  <c r="M14"/>
  <c r="O3"/>
  <c r="P3" s="1"/>
  <c r="L4" s="1"/>
  <c r="B218" i="4"/>
  <c r="G168"/>
  <c r="C169" s="1"/>
  <c r="F96"/>
  <c r="G61"/>
  <c r="C62" s="1"/>
  <c r="C72"/>
  <c r="G92"/>
  <c r="A6" i="10"/>
  <c r="H8" i="33" l="1"/>
  <c r="G11" i="43"/>
  <c r="D13"/>
  <c r="F13" s="1"/>
  <c r="B8" s="1"/>
  <c r="I11"/>
  <c r="N10" i="6"/>
  <c r="M10"/>
  <c r="L10"/>
  <c r="L16"/>
  <c r="O16"/>
  <c r="M16"/>
  <c r="O14"/>
  <c r="L14"/>
  <c r="N14"/>
  <c r="O4"/>
  <c r="M4"/>
  <c r="N4"/>
  <c r="F166" i="4"/>
  <c r="A2" i="10"/>
  <c r="Q5" i="37"/>
  <c r="N5"/>
  <c r="H5"/>
  <c r="K5"/>
  <c r="C18" i="35"/>
  <c r="B18"/>
  <c r="C4" i="28"/>
  <c r="A4"/>
  <c r="B4"/>
  <c r="A18" i="35"/>
  <c r="O20"/>
  <c r="AM29" s="1"/>
  <c r="O21"/>
  <c r="AN29" s="1"/>
  <c r="O22"/>
  <c r="AO29" s="1"/>
  <c r="O23"/>
  <c r="AP29" s="1"/>
  <c r="O24"/>
  <c r="AQ29" s="1"/>
  <c r="J24"/>
  <c r="P29" s="1"/>
  <c r="K24"/>
  <c r="T29" s="1"/>
  <c r="L24"/>
  <c r="Y29" s="1"/>
  <c r="M24"/>
  <c r="AC29" s="1"/>
  <c r="N24"/>
  <c r="AH29" s="1"/>
  <c r="P24"/>
  <c r="AV29" s="1"/>
  <c r="Q24"/>
  <c r="AZ29" s="1"/>
  <c r="R24"/>
  <c r="BE29" s="1"/>
  <c r="S24"/>
  <c r="BI29" s="1"/>
  <c r="T24"/>
  <c r="BN29" s="1"/>
  <c r="I24"/>
  <c r="J23"/>
  <c r="O29" s="1"/>
  <c r="K23"/>
  <c r="S29" s="1"/>
  <c r="L23"/>
  <c r="X29" s="1"/>
  <c r="M23"/>
  <c r="AG29" s="1"/>
  <c r="N23"/>
  <c r="AL29" s="1"/>
  <c r="P23"/>
  <c r="AU29" s="1"/>
  <c r="Q23"/>
  <c r="AY29" s="1"/>
  <c r="R23"/>
  <c r="BD29" s="1"/>
  <c r="S23"/>
  <c r="BH29" s="1"/>
  <c r="T23"/>
  <c r="BM29" s="1"/>
  <c r="I23"/>
  <c r="J29" s="1"/>
  <c r="J22"/>
  <c r="N29" s="1"/>
  <c r="K22"/>
  <c r="W29" s="1"/>
  <c r="L22"/>
  <c r="AB29" s="1"/>
  <c r="M22"/>
  <c r="AF29" s="1"/>
  <c r="N22"/>
  <c r="AK29" s="1"/>
  <c r="P22"/>
  <c r="AT29" s="1"/>
  <c r="Q22"/>
  <c r="AX29" s="1"/>
  <c r="R22"/>
  <c r="BC29" s="1"/>
  <c r="S22"/>
  <c r="BG29" s="1"/>
  <c r="T22"/>
  <c r="BL29" s="1"/>
  <c r="I22"/>
  <c r="I29" s="1"/>
  <c r="J21"/>
  <c r="R29" s="1"/>
  <c r="K21"/>
  <c r="V29" s="1"/>
  <c r="L21"/>
  <c r="AA29" s="1"/>
  <c r="M21"/>
  <c r="AE29" s="1"/>
  <c r="N21"/>
  <c r="AJ29" s="1"/>
  <c r="P21"/>
  <c r="AS29" s="1"/>
  <c r="Q21"/>
  <c r="AW29" s="1"/>
  <c r="R21"/>
  <c r="BB29" s="1"/>
  <c r="S21"/>
  <c r="BK29" s="1"/>
  <c r="T21"/>
  <c r="BP29" s="1"/>
  <c r="I21"/>
  <c r="M29" s="1"/>
  <c r="J20"/>
  <c r="Q29" s="1"/>
  <c r="K20"/>
  <c r="U29" s="1"/>
  <c r="L20"/>
  <c r="Z29" s="1"/>
  <c r="M20"/>
  <c r="AD29" s="1"/>
  <c r="N20"/>
  <c r="AI29" s="1"/>
  <c r="P20"/>
  <c r="AR29" s="1"/>
  <c r="Q20"/>
  <c r="BA29" s="1"/>
  <c r="R20"/>
  <c r="BF29" s="1"/>
  <c r="S20"/>
  <c r="BJ29" s="1"/>
  <c r="T20"/>
  <c r="BO29" s="1"/>
  <c r="I20"/>
  <c r="L29" s="1"/>
  <c r="BL31"/>
  <c r="BK31"/>
  <c r="BJ31"/>
  <c r="BI31"/>
  <c r="BH31"/>
  <c r="BG31"/>
  <c r="BM30"/>
  <c r="BM31" s="1"/>
  <c r="BB31"/>
  <c r="BC30"/>
  <c r="BC31" s="1"/>
  <c r="AW31"/>
  <c r="AX30"/>
  <c r="AX31" s="1"/>
  <c r="AR31"/>
  <c r="AS30"/>
  <c r="AS31" s="1"/>
  <c r="AM31"/>
  <c r="AN30"/>
  <c r="AN31" s="1"/>
  <c r="AH31"/>
  <c r="AI30"/>
  <c r="AI31" s="1"/>
  <c r="AC31"/>
  <c r="AD30"/>
  <c r="AE30" s="1"/>
  <c r="X31"/>
  <c r="Y30"/>
  <c r="Y31" s="1"/>
  <c r="S31"/>
  <c r="T30"/>
  <c r="U30" s="1"/>
  <c r="O30"/>
  <c r="O31" s="1"/>
  <c r="N31"/>
  <c r="M31"/>
  <c r="I31"/>
  <c r="J31"/>
  <c r="K31"/>
  <c r="L31"/>
  <c r="K29"/>
  <c r="A3"/>
  <c r="C3"/>
  <c r="B2" i="33"/>
  <c r="B3" i="35"/>
  <c r="Q5" i="34"/>
  <c r="N5"/>
  <c r="K5"/>
  <c r="H5"/>
  <c r="B8" i="33"/>
  <c r="B7"/>
  <c r="B5"/>
  <c r="D6"/>
  <c r="D7" s="1"/>
  <c r="E6"/>
  <c r="B4"/>
  <c r="R4" i="6" l="1"/>
  <c r="B4" s="1"/>
  <c r="H13" i="43"/>
  <c r="B15" s="1"/>
  <c r="C15" s="1"/>
  <c r="E13"/>
  <c r="G13"/>
  <c r="E7" i="33"/>
  <c r="F8"/>
  <c r="K6"/>
  <c r="S10" i="6"/>
  <c r="R16"/>
  <c r="R14"/>
  <c r="R10"/>
  <c r="L7"/>
  <c r="S14"/>
  <c r="S16"/>
  <c r="L12"/>
  <c r="O12"/>
  <c r="M12"/>
  <c r="N12"/>
  <c r="E16" i="34"/>
  <c r="Y11" i="35"/>
  <c r="Y12"/>
  <c r="Y8"/>
  <c r="Y9"/>
  <c r="Y10"/>
  <c r="C6" i="5"/>
  <c r="E16" i="37"/>
  <c r="A16" i="35"/>
  <c r="BD30"/>
  <c r="BD31" s="1"/>
  <c r="Z30"/>
  <c r="AJ30"/>
  <c r="AO30"/>
  <c r="AT30"/>
  <c r="AT31" s="1"/>
  <c r="P30"/>
  <c r="BN30"/>
  <c r="BO30" s="1"/>
  <c r="BO31" s="1"/>
  <c r="AY30"/>
  <c r="AE31"/>
  <c r="AF30"/>
  <c r="AF31" s="1"/>
  <c r="AD31"/>
  <c r="U31"/>
  <c r="V30"/>
  <c r="V31" s="1"/>
  <c r="T31"/>
  <c r="L6" i="33"/>
  <c r="L15" i="14"/>
  <c r="A6" i="13"/>
  <c r="A18" i="34" l="1"/>
  <c r="A17"/>
  <c r="B3" i="6"/>
  <c r="B5" s="1"/>
  <c r="I13" i="43"/>
  <c r="D15"/>
  <c r="K8" i="33"/>
  <c r="R12" i="6"/>
  <c r="S12"/>
  <c r="A3" i="34"/>
  <c r="A18" i="37"/>
  <c r="A3"/>
  <c r="BE30" i="35"/>
  <c r="BF30" s="1"/>
  <c r="BF31" s="1"/>
  <c r="AU30"/>
  <c r="AU31" s="1"/>
  <c r="AJ31"/>
  <c r="AK30"/>
  <c r="AO31"/>
  <c r="AP30"/>
  <c r="Z31"/>
  <c r="AA30"/>
  <c r="BN31"/>
  <c r="P31"/>
  <c r="Q30"/>
  <c r="BP30"/>
  <c r="BP31" s="1"/>
  <c r="AY31"/>
  <c r="AZ30"/>
  <c r="AG30"/>
  <c r="AG31" s="1"/>
  <c r="W30"/>
  <c r="W31" s="1"/>
  <c r="I15" i="14"/>
  <c r="F21" s="1"/>
  <c r="K15"/>
  <c r="L8" i="33" l="1"/>
  <c r="K54" s="1"/>
  <c r="AV30" i="35"/>
  <c r="AV31" s="1"/>
  <c r="BE31"/>
  <c r="AA31"/>
  <c r="AB30"/>
  <c r="AB31" s="1"/>
  <c r="AK31"/>
  <c r="AL30"/>
  <c r="AL31" s="1"/>
  <c r="AP31"/>
  <c r="AQ30"/>
  <c r="AQ31" s="1"/>
  <c r="R30"/>
  <c r="R31" s="1"/>
  <c r="Q31"/>
  <c r="AZ31"/>
  <c r="BA30"/>
  <c r="BA31" s="1"/>
  <c r="I14" i="14"/>
  <c r="F17"/>
  <c r="M15"/>
  <c r="K16" s="1"/>
  <c r="K21" i="33" l="1"/>
  <c r="K51"/>
  <c r="J3"/>
  <c r="N4"/>
  <c r="K42"/>
  <c r="G4"/>
  <c r="K30"/>
  <c r="I3"/>
  <c r="K17"/>
  <c r="K26"/>
  <c r="K36"/>
  <c r="K47"/>
  <c r="K63"/>
  <c r="M4"/>
  <c r="F3"/>
  <c r="K3"/>
  <c r="D4"/>
  <c r="K14"/>
  <c r="K24"/>
  <c r="K37"/>
  <c r="K48"/>
  <c r="K60"/>
  <c r="E4"/>
  <c r="L4"/>
  <c r="N3"/>
  <c r="K20"/>
  <c r="K33"/>
  <c r="K44"/>
  <c r="K65"/>
  <c r="D8"/>
  <c r="I4"/>
  <c r="M3"/>
  <c r="E3"/>
  <c r="F4"/>
  <c r="L3"/>
  <c r="K12"/>
  <c r="K18"/>
  <c r="K25"/>
  <c r="K28"/>
  <c r="K34"/>
  <c r="K39"/>
  <c r="K46"/>
  <c r="K52"/>
  <c r="K55"/>
  <c r="K62"/>
  <c r="K67"/>
  <c r="K58"/>
  <c r="K64"/>
  <c r="K4"/>
  <c r="O3"/>
  <c r="G3"/>
  <c r="J4"/>
  <c r="O4"/>
  <c r="K13"/>
  <c r="K16"/>
  <c r="K22"/>
  <c r="K29"/>
  <c r="K32"/>
  <c r="K40"/>
  <c r="K43"/>
  <c r="K50"/>
  <c r="K56"/>
  <c r="K59"/>
  <c r="K66"/>
  <c r="H4"/>
  <c r="H3"/>
  <c r="D3"/>
  <c r="K15"/>
  <c r="K19"/>
  <c r="K23"/>
  <c r="K27"/>
  <c r="K31"/>
  <c r="K35"/>
  <c r="K38"/>
  <c r="K41"/>
  <c r="K45"/>
  <c r="K49"/>
  <c r="K53"/>
  <c r="K57"/>
  <c r="K61"/>
  <c r="D4" i="28"/>
  <c r="A3"/>
  <c r="C3"/>
  <c r="B3"/>
  <c r="Q7" i="18"/>
  <c r="A29" i="26"/>
  <c r="A2" i="4" l="1"/>
  <c r="E8" i="33"/>
  <c r="A2" i="34" s="1"/>
  <c r="G8" i="33"/>
  <c r="B6" i="28"/>
  <c r="B2" s="1"/>
  <c r="I21" i="14"/>
  <c r="F23" s="1"/>
  <c r="I23" s="1"/>
  <c r="A17" i="13"/>
  <c r="A5"/>
  <c r="A6" i="5"/>
  <c r="A2" i="37" l="1"/>
  <c r="A7" i="28"/>
  <c r="A21" i="5" s="1"/>
  <c r="I17" i="14"/>
  <c r="F19" s="1"/>
  <c r="I19" s="1"/>
  <c r="I26" s="1"/>
  <c r="K17" s="1"/>
  <c r="K18" s="1"/>
  <c r="K19" s="1"/>
  <c r="C21" i="2"/>
  <c r="I21"/>
  <c r="E24" s="1"/>
  <c r="G17" i="1"/>
  <c r="G19" s="1"/>
  <c r="K19" i="26"/>
  <c r="D2" i="28" l="1"/>
  <c r="N29" i="27"/>
  <c r="B18"/>
  <c r="B16"/>
  <c r="B32"/>
  <c r="B34"/>
  <c r="B21"/>
  <c r="N12"/>
  <c r="N22"/>
  <c r="N28"/>
  <c r="N7"/>
  <c r="N13"/>
  <c r="B10" i="20"/>
  <c r="C10" s="1"/>
  <c r="B24"/>
  <c r="C24" s="1"/>
  <c r="B23"/>
  <c r="C23" s="1"/>
  <c r="B22"/>
  <c r="C22" s="1"/>
  <c r="B21"/>
  <c r="C21" s="1"/>
  <c r="B20"/>
  <c r="C20" s="1"/>
  <c r="B19"/>
  <c r="C19" s="1"/>
  <c r="B18"/>
  <c r="C18" s="1"/>
  <c r="B17"/>
  <c r="C17" s="1"/>
  <c r="B16"/>
  <c r="C16" s="1"/>
  <c r="B14"/>
  <c r="C14" s="1"/>
  <c r="B13"/>
  <c r="C13" s="1"/>
  <c r="B12"/>
  <c r="C12" s="1"/>
  <c r="B11"/>
  <c r="C11" s="1"/>
  <c r="B9"/>
  <c r="C9" s="1"/>
  <c r="B8"/>
  <c r="C8" s="1"/>
  <c r="B7"/>
  <c r="C7" s="1"/>
  <c r="B6"/>
  <c r="C6" s="1"/>
  <c r="B15"/>
  <c r="C15" s="1"/>
  <c r="A32" i="26"/>
  <c r="B195" i="4"/>
  <c r="G58"/>
  <c r="A34" i="26"/>
  <c r="A35" s="1"/>
  <c r="M28"/>
  <c r="M29"/>
  <c r="M30"/>
  <c r="A33"/>
  <c r="A30"/>
  <c r="K20"/>
  <c r="K21"/>
  <c r="K22"/>
  <c r="K23"/>
  <c r="K24"/>
  <c r="C111" i="4"/>
  <c r="B211"/>
  <c r="B202"/>
  <c r="B204"/>
  <c r="B203"/>
  <c r="B205"/>
  <c r="H7" i="24"/>
  <c r="F7"/>
  <c r="D7"/>
  <c r="B7"/>
  <c r="C173" i="4"/>
  <c r="A28" i="20"/>
  <c r="A4" i="9"/>
  <c r="B9" i="6"/>
  <c r="D9" s="1"/>
  <c r="D24" i="21"/>
  <c r="A26" s="1"/>
  <c r="D6"/>
  <c r="D7"/>
  <c r="D8"/>
  <c r="D9"/>
  <c r="D10"/>
  <c r="D11"/>
  <c r="D12"/>
  <c r="D13"/>
  <c r="D14"/>
  <c r="D15"/>
  <c r="D16"/>
  <c r="D17"/>
  <c r="D18"/>
  <c r="D19"/>
  <c r="D20"/>
  <c r="D21"/>
  <c r="D22"/>
  <c r="D23"/>
  <c r="D5"/>
  <c r="A3" i="10"/>
  <c r="C12" i="5"/>
  <c r="C9"/>
  <c r="A3"/>
  <c r="O32" i="19"/>
  <c r="N32"/>
  <c r="M32"/>
  <c r="L32"/>
  <c r="K32"/>
  <c r="J32"/>
  <c r="I32"/>
  <c r="H32"/>
  <c r="I48"/>
  <c r="B49" s="1"/>
  <c r="C147" i="4"/>
  <c r="G48"/>
  <c r="C183"/>
  <c r="A8" i="24" l="1"/>
  <c r="B10" i="6"/>
  <c r="B11" s="1"/>
  <c r="D11" s="1"/>
  <c r="K16" i="26"/>
  <c r="L16" s="1"/>
  <c r="B23" i="27"/>
  <c r="C15" i="5"/>
  <c r="B30" i="27"/>
  <c r="B13"/>
  <c r="N23"/>
  <c r="B28"/>
  <c r="B25"/>
  <c r="B36" s="1"/>
  <c r="N10" s="1"/>
  <c r="N19" s="1"/>
  <c r="N26" s="1"/>
  <c r="N32" s="1"/>
  <c r="B27"/>
  <c r="B19"/>
  <c r="N6"/>
  <c r="B12"/>
  <c r="B11"/>
  <c r="C152" i="4"/>
  <c r="C151"/>
  <c r="C150"/>
  <c r="F150" s="1"/>
  <c r="C149"/>
  <c r="F149" s="1"/>
  <c r="C148"/>
  <c r="F148" s="1"/>
  <c r="F147"/>
  <c r="I17" i="26" l="1"/>
  <c r="L18"/>
  <c r="A27" s="1"/>
  <c r="G135" i="4"/>
  <c r="F136"/>
  <c r="G133"/>
  <c r="G134" s="1"/>
  <c r="G129"/>
  <c r="G123"/>
  <c r="G124"/>
  <c r="G122"/>
  <c r="C125"/>
  <c r="C118"/>
  <c r="C115"/>
  <c r="G95"/>
  <c r="G94"/>
  <c r="G93"/>
  <c r="C82"/>
  <c r="C83"/>
  <c r="B49"/>
  <c r="G50"/>
  <c r="C69"/>
  <c r="C108"/>
  <c r="C101"/>
  <c r="C189"/>
  <c r="C177"/>
  <c r="I50" i="19"/>
  <c r="C48"/>
  <c r="L47"/>
  <c r="AA47"/>
  <c r="X47"/>
  <c r="U47"/>
  <c r="R47"/>
  <c r="O47"/>
  <c r="I47"/>
  <c r="M21"/>
  <c r="O35"/>
  <c r="N35"/>
  <c r="M35"/>
  <c r="L35"/>
  <c r="K35"/>
  <c r="G35"/>
  <c r="I35"/>
  <c r="H35"/>
  <c r="J35"/>
  <c r="G32"/>
  <c r="O11"/>
  <c r="I27"/>
  <c r="M26"/>
  <c r="M25"/>
  <c r="O24"/>
  <c r="F22"/>
  <c r="L22"/>
  <c r="K22"/>
  <c r="J22"/>
  <c r="I22"/>
  <c r="H22"/>
  <c r="G22"/>
  <c r="AB18"/>
  <c r="AA18"/>
  <c r="Z18"/>
  <c r="Y18"/>
  <c r="X18"/>
  <c r="W18"/>
  <c r="V18"/>
  <c r="U18"/>
  <c r="T18"/>
  <c r="S18"/>
  <c r="R18"/>
  <c r="Q18"/>
  <c r="P18"/>
  <c r="O18"/>
  <c r="N18"/>
  <c r="M18"/>
  <c r="L18"/>
  <c r="K18"/>
  <c r="J18"/>
  <c r="I18"/>
  <c r="H18"/>
  <c r="G18"/>
  <c r="F18"/>
  <c r="J8"/>
  <c r="K15"/>
  <c r="J15"/>
  <c r="I15"/>
  <c r="H15"/>
  <c r="G15"/>
  <c r="F15"/>
  <c r="N12"/>
  <c r="M12"/>
  <c r="L12"/>
  <c r="K12"/>
  <c r="J12"/>
  <c r="H12"/>
  <c r="G12"/>
  <c r="F12"/>
  <c r="I12"/>
  <c r="I9"/>
  <c r="H9"/>
  <c r="G9"/>
  <c r="F9"/>
  <c r="E42"/>
  <c r="D42"/>
  <c r="C42"/>
  <c r="F41"/>
  <c r="F40"/>
  <c r="F39"/>
  <c r="B43" l="1"/>
  <c r="AD48"/>
  <c r="L14"/>
  <c r="P34"/>
  <c r="P31"/>
  <c r="P24"/>
  <c r="C19"/>
  <c r="L5" i="14"/>
  <c r="K6" i="18"/>
  <c r="Q5" i="17"/>
  <c r="N5"/>
  <c r="K5"/>
  <c r="H5"/>
  <c r="H25" i="14"/>
  <c r="E16" i="17" l="1"/>
  <c r="A18" s="1"/>
  <c r="A2" s="1"/>
  <c r="A16" i="18"/>
  <c r="K8"/>
  <c r="P6"/>
  <c r="V41" i="19"/>
  <c r="V39"/>
  <c r="A17" i="17" l="1"/>
  <c r="A1" s="1"/>
  <c r="A3"/>
  <c r="C12" i="18"/>
  <c r="K7"/>
  <c r="K9"/>
  <c r="P9" s="1"/>
  <c r="C13" s="1"/>
  <c r="B9" i="13"/>
  <c r="C9" s="1"/>
  <c r="B11" s="1"/>
  <c r="A7" i="10"/>
  <c r="C7"/>
  <c r="D7" s="1"/>
  <c r="C17" i="18" l="1"/>
  <c r="K10"/>
  <c r="D9" i="13"/>
  <c r="E9" s="1"/>
  <c r="A8" i="10"/>
  <c r="D8"/>
  <c r="A10" s="1"/>
  <c r="B12" i="13"/>
  <c r="A9" i="10" l="1"/>
  <c r="A15"/>
  <c r="A17" s="1"/>
  <c r="A16"/>
  <c r="D12" i="13"/>
  <c r="C11"/>
  <c r="D11"/>
  <c r="E11"/>
  <c r="E12"/>
  <c r="E13" s="1"/>
  <c r="E14" s="1"/>
  <c r="C12"/>
  <c r="A11" i="10"/>
  <c r="A12"/>
  <c r="B16"/>
  <c r="B19"/>
  <c r="C18"/>
  <c r="A19"/>
  <c r="C19"/>
  <c r="A21"/>
  <c r="D16"/>
  <c r="E16" s="1"/>
  <c r="A13"/>
  <c r="C20"/>
  <c r="B17" l="1"/>
  <c r="D13" i="13"/>
  <c r="C13"/>
  <c r="B13"/>
  <c r="C14"/>
  <c r="D14"/>
  <c r="B14"/>
  <c r="A22" i="10"/>
  <c r="C22"/>
  <c r="D22" s="1"/>
  <c r="B22"/>
  <c r="C16"/>
  <c r="D17"/>
  <c r="E17" s="1"/>
  <c r="C17"/>
  <c r="D19"/>
  <c r="B17" i="13" l="1"/>
  <c r="A18" i="10"/>
  <c r="A13" i="13"/>
  <c r="D18" i="10"/>
  <c r="D20" s="1"/>
  <c r="A24" s="1"/>
  <c r="B18"/>
  <c r="C29" i="6" l="1"/>
  <c r="C30" s="1"/>
  <c r="C27"/>
  <c r="C28" s="1"/>
  <c r="C25"/>
  <c r="C26" s="1"/>
  <c r="C23"/>
  <c r="C24" s="1"/>
  <c r="C22"/>
  <c r="D22" s="1"/>
  <c r="C7"/>
  <c r="B32" s="1"/>
  <c r="D27" l="1"/>
  <c r="D28" s="1"/>
  <c r="D29"/>
  <c r="D30" s="1"/>
  <c r="C31"/>
  <c r="E22"/>
  <c r="F22" s="1"/>
  <c r="D23"/>
  <c r="D24" s="1"/>
  <c r="D25"/>
  <c r="C27" i="4"/>
  <c r="C28" s="1"/>
  <c r="C164"/>
  <c r="D164" s="1"/>
  <c r="D83"/>
  <c r="D82"/>
  <c r="C56"/>
  <c r="D56" s="1"/>
  <c r="C57"/>
  <c r="D57" s="1"/>
  <c r="C104"/>
  <c r="C55"/>
  <c r="C160"/>
  <c r="D160" s="1"/>
  <c r="C156"/>
  <c r="D31" i="6" l="1"/>
  <c r="E29"/>
  <c r="E30" s="1"/>
  <c r="E27"/>
  <c r="E28" s="1"/>
  <c r="E25"/>
  <c r="D26"/>
  <c r="E23"/>
  <c r="G22"/>
  <c r="E31" l="1"/>
  <c r="F31" s="1"/>
  <c r="F29"/>
  <c r="F30" s="1"/>
  <c r="F27"/>
  <c r="F28" s="1"/>
  <c r="E24"/>
  <c r="F23"/>
  <c r="F24" s="1"/>
  <c r="E26"/>
  <c r="F25"/>
  <c r="C140" i="4"/>
  <c r="G138" s="1"/>
  <c r="A139"/>
  <c r="C131"/>
  <c r="D131" s="1"/>
  <c r="C130"/>
  <c r="D130" s="1"/>
  <c r="D125"/>
  <c r="G29" i="6" l="1"/>
  <c r="G30" s="1"/>
  <c r="A138" i="4"/>
  <c r="C141"/>
  <c r="D141" s="1"/>
  <c r="G27" i="6"/>
  <c r="G28" s="1"/>
  <c r="F26"/>
  <c r="G25"/>
  <c r="G26" s="1"/>
  <c r="G23"/>
  <c r="G24" s="1"/>
  <c r="C10" s="1"/>
  <c r="D10" s="1"/>
  <c r="G31"/>
  <c r="C18" s="1"/>
  <c r="B34" s="1"/>
  <c r="C78" i="4"/>
  <c r="C85"/>
  <c r="C89"/>
  <c r="D101"/>
  <c r="D104"/>
  <c r="D111"/>
  <c r="D118"/>
  <c r="D115"/>
  <c r="D108"/>
  <c r="B18" i="6" l="1"/>
  <c r="D18"/>
  <c r="C12"/>
  <c r="D12" s="1"/>
  <c r="B12"/>
  <c r="B13" s="1"/>
  <c r="D13" s="1"/>
  <c r="C14" s="1"/>
  <c r="D89" i="4"/>
  <c r="C20"/>
  <c r="D78"/>
  <c r="C75"/>
  <c r="D75" s="1"/>
  <c r="D72"/>
  <c r="C51"/>
  <c r="C45"/>
  <c r="A11"/>
  <c r="C29"/>
  <c r="D14" i="6" l="1"/>
  <c r="C97" i="4"/>
  <c r="D97" s="1"/>
  <c r="G96" s="1"/>
  <c r="B96" s="1"/>
  <c r="A1" s="1"/>
  <c r="C33"/>
  <c r="C41"/>
  <c r="A218" l="1"/>
  <c r="D4" i="5" s="1"/>
  <c r="E91" i="4"/>
  <c r="B14" i="6"/>
  <c r="B15" s="1"/>
  <c r="D15" s="1"/>
  <c r="C16" s="1"/>
  <c r="A12" i="4"/>
  <c r="C3" i="5" l="1"/>
  <c r="G23" i="14"/>
  <c r="G19"/>
  <c r="B16" i="6" l="1"/>
  <c r="A29" i="14"/>
  <c r="F27" s="1"/>
  <c r="I16" l="1"/>
  <c r="A6" i="9"/>
  <c r="A15" i="5" s="1"/>
  <c r="F26" i="14"/>
  <c r="I25"/>
  <c r="G25" s="1"/>
  <c r="B22" i="46" l="1"/>
  <c r="E20"/>
  <c r="E18"/>
  <c r="H15"/>
  <c r="H18" s="1"/>
  <c r="F20" s="1"/>
  <c r="G15"/>
  <c r="G18" s="1"/>
  <c r="G20" s="1"/>
  <c r="B17"/>
  <c r="E15"/>
  <c r="F15"/>
  <c r="F18" s="1"/>
  <c r="H20" s="1"/>
</calcChain>
</file>

<file path=xl/comments1.xml><?xml version="1.0" encoding="utf-8"?>
<comments xmlns="http://schemas.openxmlformats.org/spreadsheetml/2006/main">
  <authors>
    <author>Steven</author>
  </authors>
  <commentList>
    <comment ref="I16" authorId="0">
      <text>
        <r>
          <rPr>
            <b/>
            <i/>
            <sz val="9"/>
            <color indexed="81"/>
            <rFont val="Tahoma"/>
            <family val="2"/>
          </rPr>
          <t>sur la base que toutes les pièces sont vraies.</t>
        </r>
        <r>
          <rPr>
            <sz val="9"/>
            <color indexed="81"/>
            <rFont val="Tahoma"/>
            <family val="2"/>
          </rPr>
          <t xml:space="preserve">
</t>
        </r>
      </text>
    </comment>
    <comment ref="J18" authorId="0">
      <text>
        <r>
          <rPr>
            <b/>
            <sz val="9"/>
            <color indexed="81"/>
            <rFont val="Tahoma"/>
            <family val="2"/>
          </rPr>
          <t>Quantité à prendre dans le ...</t>
        </r>
      </text>
    </comment>
  </commentList>
</comments>
</file>

<file path=xl/comments2.xml><?xml version="1.0" encoding="utf-8"?>
<comments xmlns="http://schemas.openxmlformats.org/spreadsheetml/2006/main">
  <authors>
    <author>Steven</author>
    <author>EVAINSE</author>
  </authors>
  <commentList>
    <comment ref="B4" authorId="0">
      <text>
        <r>
          <rPr>
            <sz val="9"/>
            <color indexed="81"/>
            <rFont val="Tahoma"/>
            <family val="2"/>
          </rPr>
          <t>nbr³</t>
        </r>
      </text>
    </comment>
    <comment ref="G15" authorId="1">
      <text>
        <r>
          <rPr>
            <b/>
            <sz val="9"/>
            <color indexed="81"/>
            <rFont val="Tahoma"/>
            <family val="2"/>
          </rPr>
          <t xml:space="preserve">SI  les 2 chiffres 'CD' correspondent soit à : - 00  </t>
        </r>
        <r>
          <rPr>
            <i/>
            <u/>
            <sz val="9"/>
            <color indexed="81"/>
            <rFont val="Tahoma"/>
            <family val="2"/>
          </rPr>
          <t>ou</t>
        </r>
        <r>
          <rPr>
            <b/>
            <sz val="9"/>
            <color indexed="81"/>
            <rFont val="Tahoma"/>
            <family val="2"/>
          </rPr>
          <t xml:space="preserve"> 
- 0x</t>
        </r>
        <r>
          <rPr>
            <i/>
            <sz val="9"/>
            <color indexed="81"/>
            <rFont val="Tahoma"/>
            <family val="2"/>
          </rPr>
          <t xml:space="preserve"> 
</t>
        </r>
        <r>
          <rPr>
            <b/>
            <sz val="9"/>
            <color indexed="81"/>
            <rFont val="Tahoma"/>
            <family val="2"/>
          </rPr>
          <t xml:space="preserve"> vous pouvez indiquer uniquement 0 ou x</t>
        </r>
        <r>
          <rPr>
            <sz val="9"/>
            <color indexed="81"/>
            <rFont val="Tahoma"/>
            <family val="2"/>
          </rPr>
          <t xml:space="preserve">
(x étant un chiffre compris entre 1 et 9)
</t>
        </r>
      </text>
    </comment>
    <comment ref="I17" authorId="1">
      <text>
        <r>
          <rPr>
            <b/>
            <sz val="9"/>
            <color indexed="81"/>
            <rFont val="Tahoma"/>
            <family val="2"/>
          </rPr>
          <t>Le seuil !</t>
        </r>
        <r>
          <rPr>
            <sz val="9"/>
            <color indexed="81"/>
            <rFont val="Tahoma"/>
            <family val="2"/>
          </rPr>
          <t xml:space="preserve">
</t>
        </r>
      </text>
    </comment>
    <comment ref="I19" authorId="1">
      <text>
        <r>
          <rPr>
            <b/>
            <sz val="9"/>
            <color indexed="81"/>
            <rFont val="Tahoma"/>
            <family val="2"/>
          </rPr>
          <t>est la dizaine du nombre mis au cube.</t>
        </r>
      </text>
    </comment>
    <comment ref="I21" authorId="0">
      <text>
        <r>
          <rPr>
            <b/>
            <sz val="9"/>
            <color indexed="81"/>
            <rFont val="Tahoma"/>
            <family val="2"/>
          </rPr>
          <t>A pour unité la même unité que le x³ d'un chiffre</t>
        </r>
      </text>
    </comment>
    <comment ref="I23" authorId="1">
      <text>
        <r>
          <rPr>
            <b/>
            <sz val="9"/>
            <color indexed="81"/>
            <rFont val="Tahoma"/>
            <family val="2"/>
          </rPr>
          <t>est l'unité du nombre mis au cube.</t>
        </r>
        <r>
          <rPr>
            <sz val="9"/>
            <color indexed="81"/>
            <rFont val="Tahoma"/>
            <family val="2"/>
          </rPr>
          <t xml:space="preserve">
</t>
        </r>
      </text>
    </comment>
    <comment ref="I26" authorId="1">
      <text>
        <r>
          <rPr>
            <b/>
            <sz val="9"/>
            <color indexed="81"/>
            <rFont val="Tahoma"/>
            <family val="2"/>
          </rPr>
          <t>Votre nombre !</t>
        </r>
      </text>
    </comment>
  </commentList>
</comments>
</file>

<file path=xl/comments3.xml><?xml version="1.0" encoding="utf-8"?>
<comments xmlns="http://schemas.openxmlformats.org/spreadsheetml/2006/main">
  <authors>
    <author>steven lemer</author>
  </authors>
  <commentList>
    <comment ref="A3" authorId="0">
      <text>
        <r>
          <rPr>
            <b/>
            <sz val="9"/>
            <color indexed="81"/>
            <rFont val="Tahoma"/>
            <family val="2"/>
          </rPr>
          <t xml:space="preserve">Les Dieux Egyptiens
</t>
        </r>
        <r>
          <rPr>
            <sz val="9"/>
            <color indexed="81"/>
            <rFont val="Tahoma"/>
            <family val="2"/>
          </rPr>
          <t xml:space="preserve">
</t>
        </r>
      </text>
    </comment>
  </commentList>
</comments>
</file>

<file path=xl/connections.xml><?xml version="1.0" encoding="utf-8"?>
<connections xmlns="http://schemas.openxmlformats.org/spreadsheetml/2006/main">
  <connection id="1" name="Connexion" type="4" refreshedVersion="3" background="1" saveData="1">
    <webPr sourceData="1" parsePre="1" consecutive="1" xl2000="1" url="http://www.excel-pratique.com/fr/telechargements/jeux/magie-interactive-et-jeux-divers-no174.php" htmlFormat="all"/>
  </connection>
  <connection id="2" name="Connexion1" type="4" refreshedVersion="3" background="1" saveData="1">
    <webPr sourceData="1" parsePre="1" consecutive="1" xl2000="1" url="http://www.excel-pratique.com/fr/telechargements/jeux/magie-interactive-et-jeux-divers-no174.php" htmlFormat="all"/>
  </connection>
  <connection id="3" name="Connexion10" type="4" refreshedVersion="3" background="1" saveData="1">
    <webPr sourceData="1" parsePre="1" consecutive="1" xl2000="1" url="http://www.excel-pratique.com/fr/telechargements/jeux/magie-interactive-et-jeux-divers-no174.php" htmlFormat="all"/>
  </connection>
  <connection id="4" name="Connexion100" type="4" refreshedVersion="3" background="1" saveData="1">
    <webPr sourceData="1" parsePre="1" consecutive="1" xl2000="1" url="http://www.excel-pratique.com/fr/telechargements/jeux/magie-interactive-et-jeux-divers-no174.php" htmlFormat="all"/>
  </connection>
  <connection id="5" name="Connexion101" type="4" refreshedVersion="3" background="1" saveData="1">
    <webPr sourceData="1" parsePre="1" consecutive="1" xl2000="1" url="http://www.excel-pratique.com/fr/telechargements/jeux/magie-interactive-et-jeux-divers-no174.php" htmlFormat="all"/>
  </connection>
  <connection id="6" name="Connexion102" type="4" refreshedVersion="3" background="1" saveData="1">
    <webPr sourceData="1" parsePre="1" consecutive="1" xl2000="1" url="http://www.excel-pratique.com/fr/telechargements/jeux/magie-interactive-et-jeux-divers-no174.php" htmlFormat="all"/>
  </connection>
  <connection id="7" name="Connexion103" type="4" refreshedVersion="3" background="1" saveData="1">
    <webPr sourceData="1" parsePre="1" consecutive="1" xl2000="1" url="http://www.excel-pratique.com/fr/telechargements/jeux/magie-interactive-et-jeux-divers-no174.php" htmlFormat="all"/>
  </connection>
  <connection id="8" name="Connexion104" type="4" refreshedVersion="3" background="1" saveData="1">
    <webPr sourceData="1" parsePre="1" consecutive="1" xl2000="1" url="http://www.excel-pratique.com/fr/telechargements/jeux/magie-interactive-et-jeux-divers-no174.php" htmlFormat="all"/>
  </connection>
  <connection id="9" name="Connexion105" type="4" refreshedVersion="3" background="1" saveData="1">
    <webPr sourceData="1" parsePre="1" consecutive="1" xl2000="1" url="http://www.excel-pratique.com/fr/telechargements/jeux/magie-interactive-et-jeux-divers-no174.php" htmlFormat="all"/>
  </connection>
  <connection id="10" name="Connexion106" type="4" refreshedVersion="3" background="1" saveData="1">
    <webPr sourceData="1" parsePre="1" consecutive="1" xl2000="1" url="http://www.excel-pratique.com/fr/telechargements/jeux/magie-interactive-et-jeux-divers-no174.php" htmlFormat="all"/>
  </connection>
  <connection id="11" name="Connexion107" type="4" refreshedVersion="3" background="1" saveData="1">
    <webPr sourceData="1" parsePre="1" consecutive="1" xl2000="1" url="http://www.excel-pratique.com/fr/telechargements/jeux/magie-interactive-et-jeux-divers-no174.php" htmlFormat="all"/>
  </connection>
  <connection id="12" name="Connexion108" type="4" refreshedVersion="3" background="1" saveData="1">
    <webPr sourceData="1" parsePre="1" consecutive="1" xl2000="1" url="http://www.excel-pratique.com/fr/telechargements/jeux/magie-interactive-et-jeux-divers-no174.php" htmlFormat="all"/>
  </connection>
  <connection id="13" name="Connexion109" type="4" refreshedVersion="3" background="1" saveData="1">
    <webPr sourceData="1" parsePre="1" consecutive="1" xl2000="1" url="http://www.excel-pratique.com/fr/telechargements/jeux/magie-interactive-et-jeux-divers-no174.php" htmlFormat="all"/>
  </connection>
  <connection id="14" name="Connexion11" type="4" refreshedVersion="3" background="1" saveData="1">
    <webPr sourceData="1" parsePre="1" consecutive="1" xl2000="1" url="http://www.excel-pratique.com/fr/telechargements/jeux/magie-interactive-et-jeux-divers-no174.php" htmlFormat="all"/>
  </connection>
  <connection id="15" name="Connexion110" type="4" refreshedVersion="3" background="1" saveData="1">
    <webPr sourceData="1" parsePre="1" consecutive="1" xl2000="1" url="http://www.excel-pratique.com/fr/telechargements/jeux/magie-interactive-et-jeux-divers-no174.php" htmlFormat="all"/>
  </connection>
  <connection id="16" name="Connexion111" type="4" refreshedVersion="3" background="1" saveData="1">
    <webPr sourceData="1" parsePre="1" consecutive="1" xl2000="1" url="http://www.excel-pratique.com/fr/telechargements/jeux/magie-interactive-et-jeux-divers-no174.php" htmlFormat="all"/>
  </connection>
  <connection id="17" name="Connexion112" type="4" refreshedVersion="0" background="1">
    <webPr url="http://www.excel-pratique.com/fr/telechargements/jeux/magie-interactive-et-jeux-divers-no174.php" htmlTables="1" htmlFormat="all"/>
  </connection>
  <connection id="18" name="Connexion113" type="4" refreshedVersion="3" background="1" saveData="1">
    <webPr sourceData="1" parsePre="1" consecutive="1" xl2000="1" url="http://www.excel-pratique.com/fr/telechargements/jeux/magie-interactive-et-jeux-divers-no174.php" htmlFormat="all"/>
  </connection>
  <connection id="19" name="Connexion114" type="4" refreshedVersion="3" background="1" saveData="1">
    <webPr sourceData="1" parsePre="1" consecutive="1" xl2000="1" url="http://www.excel-pratique.com/fr/telechargements/jeux/magie-interactive-et-jeux-divers-no174.php" htmlFormat="all"/>
  </connection>
  <connection id="20" name="Connexion115" type="4" refreshedVersion="3" background="1" saveData="1">
    <webPr sourceData="1" parsePre="1" consecutive="1" xl2000="1" url="http://www.excel-pratique.com/fr/telechargements/jeux/magie-interactive-et-jeux-divers-no174.php" htmlFormat="all"/>
  </connection>
  <connection id="21" name="Connexion116" type="4" refreshedVersion="3" background="1" saveData="1">
    <webPr sourceData="1" parsePre="1" consecutive="1" xl2000="1" url="http://www.excel-pratique.com/fr/telechargements/jeux/magie-interactive-et-jeux-divers-no174.php" htmlFormat="all"/>
  </connection>
  <connection id="22" name="Connexion117" type="4" refreshedVersion="3" background="1" saveData="1">
    <webPr sourceData="1" parsePre="1" consecutive="1" xl2000="1" url="http://www.excel-pratique.com/fr/telechargements/jeux/magie-interactive-et-jeux-divers-no174.php" htmlFormat="all"/>
  </connection>
  <connection id="23" name="Connexion118" type="4" refreshedVersion="3" background="1" saveData="1">
    <webPr sourceData="1" parsePre="1" consecutive="1" xl2000="1" url="http://www.excel-pratique.com/fr/telechargements/jeux/magie-interactive-et-jeux-divers-no174.php" htmlFormat="all"/>
  </connection>
  <connection id="24" name="Connexion119" type="4" refreshedVersion="3" background="1" saveData="1">
    <webPr sourceData="1" parsePre="1" consecutive="1" xl2000="1" url="http://www.excel-pratique.com/fr/telechargements/jeux/magie-interactive-et-jeux-divers-no174.php" htmlFormat="all"/>
  </connection>
  <connection id="25" name="Connexion12" type="4" refreshedVersion="3" background="1" saveData="1">
    <webPr sourceData="1" parsePre="1" consecutive="1" xl2000="1" url="http://www.excel-pratique.com/fr/telechargements/jeux/magie-interactive-et-jeux-divers-no174.php" htmlFormat="all"/>
  </connection>
  <connection id="26" name="Connexion120" type="4" refreshedVersion="3" background="1" saveData="1">
    <webPr sourceData="1" parsePre="1" consecutive="1" xl2000="1" url="http://www.excel-pratique.com/fr/telechargements/jeux/magie-interactive-et-jeux-divers-no174.php" htmlFormat="all"/>
  </connection>
  <connection id="27" name="Connexion121" type="4" refreshedVersion="3" background="1" saveData="1">
    <webPr sourceData="1" parsePre="1" consecutive="1" xl2000="1" url="http://www.excel-pratique.com/fr/telechargements/jeux/magie-interactive-et-jeux-divers-no174.php" htmlFormat="all"/>
  </connection>
  <connection id="28" name="Connexion122" type="4" refreshedVersion="3" background="1" saveData="1">
    <webPr sourceData="1" parsePre="1" consecutive="1" xl2000="1" url="http://www.excel-pratique.com/fr/telechargements/jeux/magie-interactive-et-jeux-divers-no174.php" htmlFormat="all"/>
  </connection>
  <connection id="29" name="Connexion123" type="4" refreshedVersion="3" background="1" saveData="1">
    <webPr sourceData="1" parsePre="1" consecutive="1" xl2000="1" url="http://www.excel-pratique.com/fr/telechargements/jeux/magie-interactive-et-jeux-divers-no174.php" htmlFormat="all"/>
  </connection>
  <connection id="30" name="Connexion124" type="4" refreshedVersion="3" background="1" saveData="1">
    <webPr sourceData="1" parsePre="1" consecutive="1" xl2000="1" url="http://www.excel-pratique.com/fr/telechargements/jeux/magie-interactive-et-jeux-divers-no174.php" htmlFormat="all"/>
  </connection>
  <connection id="31" name="Connexion125" type="4" refreshedVersion="3" background="1" saveData="1">
    <webPr sourceData="1" parsePre="1" consecutive="1" xl2000="1" url="http://www.excel-pratique.com/fr/telechargements/jeux/magie-interactive-et-jeux-divers-no174.php" htmlFormat="all"/>
  </connection>
  <connection id="32" name="Connexion126" type="4" refreshedVersion="3" background="1" saveData="1">
    <webPr sourceData="1" parsePre="1" consecutive="1" xl2000="1" url="http://www.excel-pratique.com/fr/telechargements/jeux/magie-interactive-et-jeux-divers-no174.php" htmlFormat="all"/>
  </connection>
  <connection id="33" name="Connexion127" type="4" refreshedVersion="3" background="1" saveData="1">
    <webPr sourceData="1" parsePre="1" consecutive="1" xl2000="1" url="http://www.excel-pratique.com/fr/telechargements/jeux/magie-interactive-et-jeux-divers-no174.php" htmlFormat="all"/>
  </connection>
  <connection id="34" name="Connexion128" type="4" refreshedVersion="3" background="1" saveData="1">
    <webPr sourceData="1" parsePre="1" consecutive="1" xl2000="1" url="http://www.excel-pratique.com/fr/telechargements/jeux/magie-interactive-et-jeux-divers-no174.php" htmlFormat="all"/>
  </connection>
  <connection id="35" name="Connexion129" type="4" refreshedVersion="3" background="1" saveData="1">
    <webPr sourceData="1" parsePre="1" consecutive="1" xl2000="1" url="http://www.excel-pratique.com/fr/telechargements/jeux/magie-interactive-et-jeux-divers-no174.php" htmlFormat="all"/>
  </connection>
  <connection id="36" name="Connexion13" type="4" refreshedVersion="3" background="1" saveData="1">
    <webPr sourceData="1" parsePre="1" consecutive="1" xl2000="1" url="http://www.excel-pratique.com/fr/telechargements/jeux/magie-interactive-et-jeux-divers-no174.php" htmlFormat="all"/>
  </connection>
  <connection id="37" name="Connexion130" type="4" refreshedVersion="3" background="1" saveData="1">
    <webPr sourceData="1" parsePre="1" consecutive="1" xl2000="1" url="http://www.excel-pratique.com/fr/telechargements/jeux/magie-interactive-et-jeux-divers-no174.php" htmlFormat="all"/>
  </connection>
  <connection id="38" name="Connexion131" type="4" refreshedVersion="3" background="1" saveData="1">
    <webPr sourceData="1" parsePre="1" consecutive="1" xl2000="1" url="http://www.excel-pratique.com/fr/telechargements/jeux/magie-interactive-et-jeux-divers-no174.php" htmlFormat="all"/>
  </connection>
  <connection id="39" name="Connexion132" type="4" refreshedVersion="3" background="1" saveData="1">
    <webPr sourceData="1" parsePre="1" consecutive="1" xl2000="1" url="http://www.excel-pratique.com/fr/telechargements/jeux/magie-interactive-et-jeux-divers-no174.php" htmlFormat="all"/>
  </connection>
  <connection id="40" name="Connexion133" type="4" refreshedVersion="3" background="1" saveData="1">
    <webPr sourceData="1" parsePre="1" consecutive="1" xl2000="1" url="http://www.excel-pratique.com/fr/telechargements/jeux/magie-interactive-et-jeux-divers-no174.php" htmlFormat="all"/>
  </connection>
  <connection id="41" name="Connexion134" type="4" refreshedVersion="3" background="1" saveData="1">
    <webPr sourceData="1" parsePre="1" consecutive="1" xl2000="1" url="http://www.excel-pratique.com/fr/telechargements/jeux/magie-interactive-et-jeux-divers-no174.php" htmlFormat="all"/>
  </connection>
  <connection id="42" name="Connexion135" type="4" refreshedVersion="3" background="1" saveData="1">
    <webPr sourceData="1" parsePre="1" consecutive="1" xl2000="1" url="http://www.excel-pratique.com/fr/telechargements/jeux/magie-interactive-et-jeux-divers-no174.php" htmlFormat="all"/>
  </connection>
  <connection id="43" name="Connexion136" type="4" refreshedVersion="3" background="1" saveData="1">
    <webPr sourceData="1" parsePre="1" consecutive="1" xl2000="1" url="http://www.excel-pratique.com/fr/telechargements/jeux/magie-interactive-et-jeux-divers-no174.php" htmlFormat="all"/>
  </connection>
  <connection id="44" name="Connexion137" type="4" refreshedVersion="3" background="1" saveData="1">
    <webPr sourceData="1" parsePre="1" consecutive="1" xl2000="1" url="http://www.excel-pratique.com/fr/telechargements/jeux/magie-interactive-et-jeux-divers-no174.php" htmlFormat="all"/>
  </connection>
  <connection id="45" name="Connexion138" type="4" refreshedVersion="3" background="1" saveData="1">
    <webPr sourceData="1" parsePre="1" consecutive="1" xl2000="1" url="http://www.excel-pratique.com/fr/telechargements/jeux/magie-interactive-et-jeux-divers-no174.php" htmlFormat="all"/>
  </connection>
  <connection id="46" name="Connexion139" type="4" refreshedVersion="3" background="1" saveData="1">
    <webPr sourceData="1" parsePre="1" consecutive="1" xl2000="1" url="http://www.excel-pratique.com/fr/telechargements/jeux/magie-interactive-et-jeux-divers-no174.php" htmlFormat="all"/>
  </connection>
  <connection id="47" name="Connexion14" type="4" refreshedVersion="3" background="1" saveData="1">
    <webPr sourceData="1" parsePre="1" consecutive="1" xl2000="1" url="http://www.excel-pratique.com/fr/telechargements/jeux/magie-interactive-et-jeux-divers-no174.php" htmlFormat="all"/>
  </connection>
  <connection id="48" name="Connexion140" type="4" refreshedVersion="3" background="1" saveData="1">
    <webPr sourceData="1" parsePre="1" consecutive="1" xl2000="1" url="http://www.excel-pratique.com/fr/telechargements/jeux/magie-interactive-et-jeux-divers-no174.php" htmlFormat="all"/>
  </connection>
  <connection id="49" name="Connexion141" type="4" refreshedVersion="3" background="1" saveData="1">
    <webPr sourceData="1" parsePre="1" consecutive="1" xl2000="1" url="http://www.excel-pratique.com/fr/telechargements/jeux/magie-interactive-et-jeux-divers-no174.php" htmlFormat="all"/>
  </connection>
  <connection id="50" name="Connexion142" type="4" refreshedVersion="3" background="1" saveData="1">
    <webPr sourceData="1" parsePre="1" consecutive="1" xl2000="1" url="http://www.excel-pratique.com/fr/telechargements/jeux/magie-interactive-et-jeux-divers-no174.php" htmlFormat="all"/>
  </connection>
  <connection id="51" name="Connexion143" type="4" refreshedVersion="3" background="1" saveData="1">
    <webPr sourceData="1" parsePre="1" consecutive="1" xl2000="1" url="http://www.excel-pratique.com/fr/telechargements/jeux/magie-interactive-et-jeux-divers-no174.php" htmlFormat="all"/>
  </connection>
  <connection id="52" name="Connexion144" type="4" refreshedVersion="3" background="1" saveData="1">
    <webPr sourceData="1" parsePre="1" consecutive="1" xl2000="1" url="http://www.excel-pratique.com/fr/telechargements/jeux/magie-interactive-et-jeux-divers-no174.php" htmlFormat="all"/>
  </connection>
  <connection id="53" name="Connexion145" type="4" refreshedVersion="3" background="1" saveData="1">
    <webPr sourceData="1" parsePre="1" consecutive="1" xl2000="1" url="http://www.excel-pratique.com/fr/telechargements/jeux/magie-interactive-et-jeux-divers-no174.php" htmlFormat="all"/>
  </connection>
  <connection id="54" name="Connexion146" type="4" refreshedVersion="3" background="1" saveData="1">
    <webPr sourceData="1" parsePre="1" consecutive="1" xl2000="1" url="http://www.excel-pratique.com/fr/telechargements/jeux/magie-interactive-et-jeux-divers-no174.php" htmlFormat="all"/>
  </connection>
  <connection id="55" name="Connexion147" type="4" refreshedVersion="3" background="1" saveData="1">
    <webPr sourceData="1" parsePre="1" consecutive="1" xl2000="1" url="http://www.excel-pratique.com/fr/telechargements/jeux/magie-interactive-et-jeux-divers-no174.php" htmlFormat="all"/>
  </connection>
  <connection id="56" name="Connexion148" type="4" refreshedVersion="3" background="1" saveData="1">
    <webPr sourceData="1" parsePre="1" consecutive="1" xl2000="1" url="http://www.excel-pratique.com/fr/telechargements/jeux/magie-interactive-et-jeux-divers-no174.php" htmlFormat="all"/>
  </connection>
  <connection id="57" name="Connexion149" type="4" refreshedVersion="3" background="1" saveData="1">
    <webPr sourceData="1" parsePre="1" consecutive="1" xl2000="1" url="http://www.excel-pratique.com/fr/telechargements/jeux/magie-interactive-et-jeux-divers-no174.php" htmlFormat="all"/>
  </connection>
  <connection id="58" name="Connexion15" type="4" refreshedVersion="3" background="1" saveData="1">
    <webPr sourceData="1" parsePre="1" consecutive="1" xl2000="1" url="http://www.excel-pratique.com/fr/telechargements/jeux/magie-interactive-et-jeux-divers-no174.php" htmlFormat="all"/>
  </connection>
  <connection id="59" name="Connexion150" type="4" refreshedVersion="3" background="1" saveData="1">
    <webPr sourceData="1" parsePre="1" consecutive="1" xl2000="1" url="http://www.excel-pratique.com/fr/telechargements/jeux/magie-interactive-et-jeux-divers-no174.php" htmlFormat="all"/>
  </connection>
  <connection id="60" name="Connexion151" type="4" refreshedVersion="3" background="1" saveData="1">
    <webPr sourceData="1" parsePre="1" consecutive="1" xl2000="1" url="http://www.excel-pratique.com/fr/telechargements/jeux/magie-interactive-et-jeux-divers-no174.php" htmlFormat="all"/>
  </connection>
  <connection id="61" name="Connexion152" type="4" refreshedVersion="3" background="1" saveData="1">
    <webPr sourceData="1" parsePre="1" consecutive="1" xl2000="1" url="http://www.excel-pratique.com/fr/telechargements/jeux/magie-interactive-et-jeux-divers-no174.php" htmlFormat="all"/>
  </connection>
  <connection id="62" name="Connexion153" type="4" refreshedVersion="3" background="1" saveData="1">
    <webPr sourceData="1" parsePre="1" consecutive="1" xl2000="1" url="http://www.excel-pratique.com/fr/telechargements/jeux/magie-interactive-et-jeux-divers-no174.php" htmlFormat="all"/>
  </connection>
  <connection id="63" name="Connexion154" type="4" refreshedVersion="3" background="1" saveData="1">
    <webPr sourceData="1" parsePre="1" consecutive="1" xl2000="1" url="http://www.excel-pratique.com/fr/telechargements/jeux/magie-interactive-et-jeux-divers-no174.php" htmlFormat="all"/>
  </connection>
  <connection id="64" name="Connexion155" type="4" refreshedVersion="3" background="1" saveData="1">
    <webPr sourceData="1" parsePre="1" consecutive="1" xl2000="1" url="http://www.excel-pratique.com/fr/telechargements/jeux/magie-interactive-et-jeux-divers-no174.php" htmlFormat="all"/>
  </connection>
  <connection id="65" name="Connexion156" type="4" refreshedVersion="3" background="1" saveData="1">
    <webPr sourceData="1" parsePre="1" consecutive="1" xl2000="1" url="http://www.excel-pratique.com/fr/telechargements/jeux/magie-interactive-et-jeux-divers-no174.php" htmlFormat="all"/>
  </connection>
  <connection id="66" name="Connexion157" type="4" refreshedVersion="3" background="1" saveData="1">
    <webPr sourceData="1" parsePre="1" consecutive="1" xl2000="1" url="http://www.excel-pratique.com/fr/telechargements/jeux/magie-interactive-et-jeux-divers-no174.php" htmlFormat="all"/>
  </connection>
  <connection id="67" name="Connexion158" type="4" refreshedVersion="3" background="1" saveData="1">
    <webPr sourceData="1" parsePre="1" consecutive="1" xl2000="1" url="http://www.excel-pratique.com/fr/telechargements/jeux/magie-interactive-et-jeux-divers-no174.php" htmlFormat="all"/>
  </connection>
  <connection id="68" name="Connexion159" type="4" refreshedVersion="3" background="1" saveData="1">
    <webPr sourceData="1" parsePre="1" consecutive="1" xl2000="1" url="http://www.excel-pratique.com/fr/telechargements/jeux/magie-interactive-et-jeux-divers-no174.php" htmlFormat="all"/>
  </connection>
  <connection id="69" name="Connexion16" type="4" refreshedVersion="3" background="1" saveData="1">
    <webPr sourceData="1" parsePre="1" consecutive="1" xl2000="1" url="http://www.excel-pratique.com/fr/telechargements/jeux/magie-interactive-et-jeux-divers-no174.php" htmlFormat="all"/>
  </connection>
  <connection id="70" name="Connexion160" type="4" refreshedVersion="3" background="1" saveData="1">
    <webPr sourceData="1" parsePre="1" consecutive="1" xl2000="1" url="http://www.excel-pratique.com/fr/telechargements/jeux/magie-interactive-et-jeux-divers-no174.php" htmlFormat="all"/>
  </connection>
  <connection id="71" name="Connexion161" type="4" refreshedVersion="3" background="1" saveData="1">
    <webPr sourceData="1" parsePre="1" consecutive="1" xl2000="1" url="http://www.excel-pratique.com/fr/telechargements/jeux/magie-interactive-et-jeux-divers-no174.php" htmlFormat="all"/>
  </connection>
  <connection id="72" name="Connexion162" type="4" refreshedVersion="3" background="1" saveData="1">
    <webPr sourceData="1" parsePre="1" consecutive="1" xl2000="1" url="http://www.excel-pratique.com/fr/telechargements/jeux/magie-interactive-et-jeux-divers-no174.php" htmlFormat="all"/>
  </connection>
  <connection id="73" name="Connexion163" type="4" refreshedVersion="3" background="1" saveData="1">
    <webPr sourceData="1" parsePre="1" consecutive="1" xl2000="1" url="http://www.excel-pratique.com/fr/telechargements/jeux/magie-interactive-et-jeux-divers-no174.php" htmlFormat="all"/>
  </connection>
  <connection id="74" name="Connexion164" type="4" refreshedVersion="3" background="1" saveData="1">
    <webPr sourceData="1" parsePre="1" consecutive="1" xl2000="1" url="http://www.excel-pratique.com/fr/telechargements/jeux/magie-interactive-et-jeux-divers-no174.php" htmlFormat="all"/>
  </connection>
  <connection id="75" name="Connexion165" type="4" refreshedVersion="3" background="1" saveData="1">
    <webPr sourceData="1" parsePre="1" consecutive="1" xl2000="1" url="http://www.excel-pratique.com/fr/telechargements/jeux/magie-interactive-et-jeux-divers-no174.php" htmlFormat="all"/>
  </connection>
  <connection id="76" name="Connexion166" type="4" refreshedVersion="3" background="1" saveData="1">
    <webPr sourceData="1" parsePre="1" consecutive="1" xl2000="1" url="http://www.excel-pratique.com/fr/telechargements/jeux/magie-interactive-et-jeux-divers-no174.php" htmlFormat="all"/>
  </connection>
  <connection id="77" name="Connexion167" type="4" refreshedVersion="3" background="1" saveData="1">
    <webPr sourceData="1" parsePre="1" consecutive="1" xl2000="1" url="http://www.excel-pratique.com/fr/telechargements/jeux/magie-interactive-et-jeux-divers-no174.php" htmlFormat="all"/>
  </connection>
  <connection id="78" name="Connexion168" type="4" refreshedVersion="3" background="1" saveData="1">
    <webPr sourceData="1" parsePre="1" consecutive="1" xl2000="1" url="http://www.excel-pratique.com/fr/telechargements/jeux/magie-interactive-et-jeux-divers-no174.php" htmlFormat="all"/>
  </connection>
  <connection id="79" name="Connexion169" type="4" refreshedVersion="3" background="1" saveData="1">
    <webPr sourceData="1" parsePre="1" consecutive="1" xl2000="1" url="http://www.excel-pratique.com/fr/telechargements/jeux/magie-interactive-et-jeux-divers-no174.php" htmlFormat="all"/>
  </connection>
  <connection id="80" name="Connexion17" type="4" refreshedVersion="3" background="1" saveData="1">
    <webPr sourceData="1" parsePre="1" consecutive="1" xl2000="1" url="http://www.excel-pratique.com/fr/telechargements/jeux/magie-interactive-et-jeux-divers-no174.php" htmlFormat="all"/>
  </connection>
  <connection id="81" name="Connexion170" type="4" refreshedVersion="3" background="1" saveData="1">
    <webPr sourceData="1" parsePre="1" consecutive="1" xl2000="1" url="http://www.excel-pratique.com/fr/telechargements/jeux/magie-interactive-et-jeux-divers-no174.php" htmlFormat="all"/>
  </connection>
  <connection id="82" name="Connexion171" type="4" refreshedVersion="3" background="1" saveData="1">
    <webPr sourceData="1" parsePre="1" consecutive="1" xl2000="1" url="http://www.excel-pratique.com/fr/telechargements/jeux/magie-interactive-et-jeux-divers-no174.php" htmlFormat="all"/>
  </connection>
  <connection id="83" name="Connexion172" type="4" refreshedVersion="3" background="1" saveData="1">
    <webPr sourceData="1" parsePre="1" consecutive="1" xl2000="1" url="http://www.excel-pratique.com/fr/telechargements/jeux/magie-interactive-et-jeux-divers-no174.php" htmlFormat="all"/>
  </connection>
  <connection id="84" name="Connexion173" type="4" refreshedVersion="3" background="1" saveData="1">
    <webPr sourceData="1" parsePre="1" consecutive="1" xl2000="1" url="http://www.excel-pratique.com/fr/telechargements/jeux/magie-interactive-et-jeux-divers-no174.php" htmlFormat="all"/>
  </connection>
  <connection id="85" name="Connexion174" type="4" refreshedVersion="3" background="1" saveData="1">
    <webPr sourceData="1" parsePre="1" consecutive="1" xl2000="1" url="http://www.excel-pratique.com/fr/telechargements/jeux/magie-interactive-et-jeux-divers-no174.php" htmlFormat="all"/>
  </connection>
  <connection id="86" name="Connexion175" type="4" refreshedVersion="3" background="1" saveData="1">
    <webPr sourceData="1" parsePre="1" consecutive="1" xl2000="1" url="http://www.excel-pratique.com/fr/telechargements/jeux/magie-interactive-et-jeux-divers-no174.php" htmlFormat="all"/>
  </connection>
  <connection id="87" name="Connexion176" type="4" refreshedVersion="3" background="1" saveData="1">
    <webPr sourceData="1" parsePre="1" consecutive="1" xl2000="1" url="http://www.excel-pratique.com/fr/telechargements/jeux/magie-interactive-et-jeux-divers-no174.php" htmlFormat="all"/>
  </connection>
  <connection id="88" name="Connexion177" type="4" refreshedVersion="3" background="1" saveData="1">
    <webPr sourceData="1" parsePre="1" consecutive="1" xl2000="1" url="http://www.excel-pratique.com/fr/telechargements/jeux/magie-interactive-et-jeux-divers-no174.php" htmlFormat="all"/>
  </connection>
  <connection id="89" name="Connexion178" type="4" refreshedVersion="3" background="1" saveData="1">
    <webPr sourceData="1" parsePre="1" consecutive="1" xl2000="1" url="http://www.excel-pratique.com/fr/telechargements/jeux/magie-interactive-et-jeux-divers-no174.php" htmlFormat="all"/>
  </connection>
  <connection id="90" name="Connexion179" type="4" refreshedVersion="3" background="1" saveData="1">
    <webPr sourceData="1" parsePre="1" consecutive="1" xl2000="1" url="http://www.excel-pratique.com/fr/telechargements/jeux/magie-interactive-et-jeux-divers-no174.php" htmlFormat="all"/>
  </connection>
  <connection id="91" name="Connexion18" type="4" refreshedVersion="3" background="1" saveData="1">
    <webPr sourceData="1" parsePre="1" consecutive="1" xl2000="1" url="http://www.excel-pratique.com/fr/telechargements/jeux/magie-interactive-et-jeux-divers-no174.php" htmlFormat="all"/>
  </connection>
  <connection id="92" name="Connexion180" type="4" refreshedVersion="3" background="1" saveData="1">
    <webPr sourceData="1" parsePre="1" consecutive="1" xl2000="1" url="http://www.excel-pratique.com/fr/telechargements/jeux/magie-interactive-et-jeux-divers-no174.php" htmlFormat="all"/>
  </connection>
  <connection id="93" name="Connexion181" type="4" refreshedVersion="3" background="1" saveData="1">
    <webPr sourceData="1" parsePre="1" consecutive="1" xl2000="1" url="http://www.excel-pratique.com/fr/telechargements/jeux/magie-interactive-et-jeux-divers-no174.php" htmlFormat="all"/>
  </connection>
  <connection id="94" name="Connexion182" type="4" refreshedVersion="3" background="1" saveData="1">
    <webPr sourceData="1" parsePre="1" consecutive="1" xl2000="1" url="http://www.excel-pratique.com/fr/telechargements/jeux/magie-interactive-et-jeux-divers-no174.php" htmlFormat="all"/>
  </connection>
  <connection id="95" name="Connexion183" type="4" refreshedVersion="3" background="1" saveData="1">
    <webPr sourceData="1" parsePre="1" consecutive="1" xl2000="1" url="http://www.excel-pratique.com/fr/telechargements/jeux/magie-interactive-et-jeux-divers-no174.php" htmlFormat="all"/>
  </connection>
  <connection id="96" name="Connexion184" type="4" refreshedVersion="3" background="1" saveData="1">
    <webPr sourceData="1" parsePre="1" consecutive="1" xl2000="1" url="http://www.excel-pratique.com/fr/telechargements/jeux/magie-interactive-et-jeux-divers-no174.php" htmlFormat="all"/>
  </connection>
  <connection id="97" name="Connexion185" type="4" refreshedVersion="3" background="1" saveData="1">
    <webPr sourceData="1" parsePre="1" consecutive="1" xl2000="1" url="http://www.excel-pratique.com/fr/telechargements/jeux/magie-interactive-et-jeux-divers-no174.php" htmlFormat="all"/>
  </connection>
  <connection id="98" name="Connexion186" type="4" refreshedVersion="3" background="1" saveData="1">
    <webPr sourceData="1" parsePre="1" consecutive="1" xl2000="1" url="http://www.excel-pratique.com/fr/telechargements/jeux/magie-interactive-et-jeux-divers-no174.php" htmlFormat="all"/>
  </connection>
  <connection id="99" name="Connexion187" type="4" refreshedVersion="3" background="1" saveData="1">
    <webPr sourceData="1" parsePre="1" consecutive="1" xl2000="1" url="http://www.excel-pratique.com/fr/telechargements/jeux/magie-interactive-et-jeux-divers-no174.php" htmlFormat="all"/>
  </connection>
  <connection id="100" name="Connexion188" type="4" refreshedVersion="3" background="1" saveData="1">
    <webPr sourceData="1" parsePre="1" consecutive="1" xl2000="1" url="http://www.excel-pratique.com/fr/telechargements/jeux/magie-interactive-et-jeux-divers-no174.php" htmlFormat="all"/>
  </connection>
  <connection id="101" name="Connexion189" type="4" refreshedVersion="3" background="1" saveData="1">
    <webPr sourceData="1" parsePre="1" consecutive="1" xl2000="1" url="http://www.excel-pratique.com/fr/telechargements/jeux/magie-interactive-et-jeux-divers-no174.php" htmlFormat="all"/>
  </connection>
  <connection id="102" name="Connexion19" type="4" refreshedVersion="3" background="1" saveData="1">
    <webPr sourceData="1" parsePre="1" consecutive="1" xl2000="1" url="http://www.excel-pratique.com/fr/telechargements/jeux/magie-interactive-et-jeux-divers-no174.php" htmlFormat="all"/>
  </connection>
  <connection id="103" name="Connexion190" type="4" refreshedVersion="3" background="1" saveData="1">
    <webPr sourceData="1" parsePre="1" consecutive="1" xl2000="1" url="http://www.excel-pratique.com/fr/telechargements/jeux/magie-interactive-et-jeux-divers-no174.php" htmlFormat="all"/>
  </connection>
  <connection id="104" name="Connexion191" type="4" refreshedVersion="3" background="1" saveData="1">
    <webPr sourceData="1" parsePre="1" consecutive="1" xl2000="1" url="http://www.excel-pratique.com/fr/telechargements/jeux/magie-interactive-et-jeux-divers-no174.php" htmlFormat="all"/>
  </connection>
  <connection id="105" name="Connexion192" type="4" refreshedVersion="3" background="1" saveData="1">
    <webPr sourceData="1" parsePre="1" consecutive="1" xl2000="1" url="http://www.excel-pratique.com/fr/telechargements/jeux/magie-interactive-et-jeux-divers-no174.php" htmlFormat="all"/>
  </connection>
  <connection id="106" name="Connexion193" type="4" refreshedVersion="3" background="1" saveData="1">
    <webPr sourceData="1" parsePre="1" consecutive="1" xl2000="1" url="http://www.excel-pratique.com/fr/telechargements/jeux/magie-interactive-et-jeux-divers-no174.php" htmlFormat="all"/>
  </connection>
  <connection id="107" name="Connexion194" type="4" refreshedVersion="3" background="1" saveData="1">
    <webPr sourceData="1" parsePre="1" consecutive="1" xl2000="1" url="http://www.excel-pratique.com/fr/telechargements/jeux/magie-interactive-et-jeux-divers-no174.php" htmlFormat="all"/>
  </connection>
  <connection id="108" name="Connexion195" type="4" refreshedVersion="3" background="1" saveData="1">
    <webPr sourceData="1" parsePre="1" consecutive="1" xl2000="1" url="http://www.excel-pratique.com/fr/telechargements/jeux/magie-interactive-et-jeux-divers-no174.php" htmlFormat="all"/>
  </connection>
  <connection id="109" name="Connexion196" type="4" refreshedVersion="3" background="1" saveData="1">
    <webPr sourceData="1" parsePre="1" consecutive="1" xl2000="1" url="http://www.excel-pratique.com/fr/telechargements/jeux/magie-interactive-et-jeux-divers-no174.php" htmlFormat="all"/>
  </connection>
  <connection id="110" name="Connexion197" type="4" refreshedVersion="3" background="1" saveData="1">
    <webPr sourceData="1" parsePre="1" consecutive="1" xl2000="1" url="http://www.excel-pratique.com/fr/telechargements/jeux/magie-interactive-et-jeux-divers-no174.php" htmlFormat="all"/>
  </connection>
  <connection id="111" name="Connexion198" type="4" refreshedVersion="3" background="1" saveData="1">
    <webPr sourceData="1" parsePre="1" consecutive="1" xl2000="1" url="http://www.excel-pratique.com/fr/telechargements/jeux/magie-interactive-et-jeux-divers-no174.php" htmlFormat="all"/>
  </connection>
  <connection id="112" name="Connexion199" type="4" refreshedVersion="3" background="1" saveData="1">
    <webPr sourceData="1" parsePre="1" consecutive="1" xl2000="1" url="http://www.excel-pratique.com/fr/telechargements/jeux/magie-interactive-et-jeux-divers-no174.php" htmlFormat="all"/>
  </connection>
  <connection id="113" name="Connexion2" type="4" refreshedVersion="3" background="1" saveData="1">
    <webPr sourceData="1" parsePre="1" consecutive="1" xl2000="1" url="http://www.excel-pratique.com/fr/telechargements/jeux/magie-interactive-et-jeux-divers-no174.php" htmlFormat="all"/>
  </connection>
  <connection id="114" name="Connexion20" type="4" refreshedVersion="3" background="1" saveData="1">
    <webPr sourceData="1" parsePre="1" consecutive="1" xl2000="1" url="http://www.excel-pratique.com/fr/telechargements/jeux/magie-interactive-et-jeux-divers-no174.php" htmlFormat="all"/>
  </connection>
  <connection id="115" name="Connexion200" type="4" refreshedVersion="3" background="1" saveData="1">
    <webPr sourceData="1" parsePre="1" consecutive="1" xl2000="1" url="http://www.excel-pratique.com/fr/telechargements/jeux/magie-interactive-et-jeux-divers-no174.php" htmlFormat="all"/>
  </connection>
  <connection id="116" name="Connexion201" type="4" refreshedVersion="3" background="1" saveData="1">
    <webPr sourceData="1" parsePre="1" consecutive="1" xl2000="1" url="http://www.excel-pratique.com/fr/telechargements/jeux/magie-interactive-et-jeux-divers-no174.php" htmlFormat="all"/>
  </connection>
  <connection id="117" name="Connexion202" type="4" refreshedVersion="3" background="1" saveData="1">
    <webPr sourceData="1" parsePre="1" consecutive="1" xl2000="1" url="http://www.excel-pratique.com/fr/telechargements/jeux/magie-interactive-et-jeux-divers-no174.php" htmlFormat="all"/>
  </connection>
  <connection id="118" name="Connexion203" type="4" refreshedVersion="3" background="1" saveData="1">
    <webPr sourceData="1" parsePre="1" consecutive="1" xl2000="1" url="http://www.excel-pratique.com/fr/telechargements/jeux/magie-interactive-et-jeux-divers-no174.php" htmlFormat="all"/>
  </connection>
  <connection id="119" name="Connexion204" type="4" refreshedVersion="3" background="1" saveData="1">
    <webPr sourceData="1" parsePre="1" consecutive="1" xl2000="1" url="http://www.excel-pratique.com/fr/telechargements/jeux/magie-interactive-et-jeux-divers-no174.php" htmlFormat="all"/>
  </connection>
  <connection id="120" name="Connexion205" type="4" refreshedVersion="3" background="1" saveData="1">
    <webPr sourceData="1" parsePre="1" consecutive="1" xl2000="1" url="http://www.excel-pratique.com/fr/telechargements/jeux/magie-interactive-et-jeux-divers-no174.php" htmlFormat="all"/>
  </connection>
  <connection id="121" name="Connexion206" type="4" refreshedVersion="3" background="1" saveData="1">
    <webPr sourceData="1" parsePre="1" consecutive="1" xl2000="1" url="http://www.excel-pratique.com/fr/telechargements/jeux/magie-interactive-et-jeux-divers-no174.php" htmlFormat="all"/>
  </connection>
  <connection id="122" name="Connexion207" type="4" refreshedVersion="3" background="1" saveData="1">
    <webPr sourceData="1" parsePre="1" consecutive="1" xl2000="1" url="http://www.excel-pratique.com/fr/telechargements/jeux/magie-interactive-et-jeux-divers-no174.php" htmlFormat="all"/>
  </connection>
  <connection id="123" name="Connexion208" type="4" refreshedVersion="3" background="1" saveData="1">
    <webPr sourceData="1" parsePre="1" consecutive="1" xl2000="1" url="http://www.excel-pratique.com/fr/telechargements/jeux/magie-interactive-et-jeux-divers-no174.php" htmlFormat="all"/>
  </connection>
  <connection id="124" name="Connexion209" type="4" refreshedVersion="3" background="1" saveData="1">
    <webPr sourceData="1" parsePre="1" consecutive="1" xl2000="1" url="http://www.excel-pratique.com/fr/telechargements/jeux/magie-interactive-et-jeux-divers-no174.php" htmlFormat="all"/>
  </connection>
  <connection id="125" name="Connexion21" type="4" refreshedVersion="3" background="1" saveData="1">
    <webPr sourceData="1" parsePre="1" consecutive="1" xl2000="1" url="http://www.excel-pratique.com/fr/telechargements/jeux/magie-interactive-et-jeux-divers-no174.php" htmlFormat="all"/>
  </connection>
  <connection id="126" name="Connexion210" type="4" refreshedVersion="3" background="1" saveData="1">
    <webPr sourceData="1" parsePre="1" consecutive="1" xl2000="1" url="http://www.excel-pratique.com/fr/telechargements/jeux/magie-interactive-et-jeux-divers-no174.php" htmlFormat="all"/>
  </connection>
  <connection id="127" name="Connexion211" type="4" refreshedVersion="3" background="1" saveData="1">
    <webPr sourceData="1" parsePre="1" consecutive="1" xl2000="1" url="http://www.excel-pratique.com/fr/telechargements/jeux/magie-interactive-et-jeux-divers-no174.php" htmlFormat="all"/>
  </connection>
  <connection id="128" name="Connexion212" type="4" refreshedVersion="3" background="1" saveData="1">
    <webPr sourceData="1" parsePre="1" consecutive="1" xl2000="1" url="http://www.excel-pratique.com/fr/telechargements/jeux/magie-interactive-et-jeux-divers-no174.php" htmlFormat="all"/>
  </connection>
  <connection id="129" name="Connexion213" type="4" refreshedVersion="3" background="1" saveData="1">
    <webPr sourceData="1" parsePre="1" consecutive="1" xl2000="1" url="http://www.excel-pratique.com/fr/telechargements/jeux/magie-interactive-et-jeux-divers-no174.php" htmlFormat="all"/>
  </connection>
  <connection id="130" name="Connexion214" type="4" refreshedVersion="3" background="1" saveData="1">
    <webPr sourceData="1" parsePre="1" consecutive="1" xl2000="1" url="http://www.excel-pratique.com/fr/telechargements/jeux/magie-interactive-et-jeux-divers-no174.php" htmlFormat="all"/>
  </connection>
  <connection id="131" name="Connexion215" type="4" refreshedVersion="3" background="1" saveData="1">
    <webPr sourceData="1" parsePre="1" consecutive="1" xl2000="1" url="http://www.excel-pratique.com/fr/telechargements/jeux/magie-interactive-et-jeux-divers-no174.php" htmlFormat="all"/>
  </connection>
  <connection id="132" name="Connexion216" type="4" refreshedVersion="3" background="1" saveData="1">
    <webPr sourceData="1" parsePre="1" consecutive="1" xl2000="1" url="http://www.excel-pratique.com/fr/telechargements/jeux/magie-interactive-et-jeux-divers-no174.php" htmlFormat="all"/>
  </connection>
  <connection id="133" name="Connexion217" type="4" refreshedVersion="3" background="1" saveData="1">
    <webPr sourceData="1" parsePre="1" consecutive="1" xl2000="1" url="http://www.excel-pratique.com/fr/telechargements/jeux/magie-interactive-et-jeux-divers-no174.php" htmlFormat="all"/>
  </connection>
  <connection id="134" name="Connexion218" type="4" refreshedVersion="3" background="1" saveData="1">
    <webPr sourceData="1" parsePre="1" consecutive="1" xl2000="1" url="http://www.excel-pratique.com/fr/telechargements/jeux/magie-interactive-et-jeux-divers-no174.php" htmlFormat="all"/>
  </connection>
  <connection id="135" name="Connexion219" type="4" refreshedVersion="3" background="1" saveData="1">
    <webPr sourceData="1" parsePre="1" consecutive="1" xl2000="1" url="http://www.excel-pratique.com/fr/telechargements/jeux/magie-interactive-et-jeux-divers-no174.php" htmlFormat="all"/>
  </connection>
  <connection id="136" name="Connexion22" type="4" refreshedVersion="3" background="1" saveData="1">
    <webPr sourceData="1" parsePre="1" consecutive="1" xl2000="1" url="http://www.excel-pratique.com/fr/telechargements/jeux/magie-interactive-et-jeux-divers-no174.php" htmlFormat="all"/>
  </connection>
  <connection id="137" name="Connexion220" type="4" refreshedVersion="3" background="1" saveData="1">
    <webPr sourceData="1" parsePre="1" consecutive="1" xl2000="1" url="http://www.excel-pratique.com/fr/telechargements/jeux/magie-interactive-et-jeux-divers-no174.php" htmlFormat="all"/>
  </connection>
  <connection id="138" name="Connexion221" type="4" refreshedVersion="3" background="1" saveData="1">
    <webPr sourceData="1" parsePre="1" consecutive="1" xl2000="1" url="http://www.excel-pratique.com/fr/telechargements/jeux/magie-interactive-et-jeux-divers-no174.php" htmlFormat="all"/>
  </connection>
  <connection id="139" name="Connexion222" type="4" refreshedVersion="3" background="1" saveData="1">
    <webPr sourceData="1" parsePre="1" consecutive="1" xl2000="1" url="http://www.excel-pratique.com/fr/telechargements/jeux/magie-interactive-et-jeux-divers-no174.php" htmlFormat="all"/>
  </connection>
  <connection id="140" name="Connexion223" type="4" refreshedVersion="3" background="1" saveData="1">
    <webPr sourceData="1" parsePre="1" consecutive="1" xl2000="1" url="http://www.excel-pratique.com/fr/telechargements/jeux/magie-interactive-et-jeux-divers-no174.php" htmlFormat="all"/>
  </connection>
  <connection id="141" name="Connexion224" type="4" refreshedVersion="3" background="1" saveData="1">
    <webPr sourceData="1" parsePre="1" consecutive="1" xl2000="1" url="http://www.excel-pratique.com/fr/telechargements/jeux/magie-interactive-et-jeux-divers-no174.php" htmlFormat="all"/>
  </connection>
  <connection id="142" name="Connexion225" type="4" refreshedVersion="3" background="1" saveData="1">
    <webPr sourceData="1" parsePre="1" consecutive="1" xl2000="1" url="http://www.excel-pratique.com/fr/telechargements/jeux/magie-interactive-et-jeux-divers-no174.php" htmlFormat="all"/>
  </connection>
  <connection id="143" name="Connexion226" type="4" refreshedVersion="3" background="1" saveData="1">
    <webPr sourceData="1" parsePre="1" consecutive="1" xl2000="1" url="http://www.excel-pratique.com/fr/telechargements/jeux/magie-interactive-et-jeux-divers-no174.php" htmlFormat="all"/>
  </connection>
  <connection id="144" name="Connexion227" type="4" refreshedVersion="3" background="1" saveData="1">
    <webPr sourceData="1" parsePre="1" consecutive="1" xl2000="1" url="http://www.excel-pratique.com/fr/telechargements/jeux/magie-interactive-et-jeux-divers-no174.php" htmlFormat="all"/>
  </connection>
  <connection id="145" name="Connexion228" type="4" refreshedVersion="3" background="1" saveData="1">
    <webPr sourceData="1" parsePre="1" consecutive="1" xl2000="1" url="http://www.excel-pratique.com/fr/telechargements/jeux/magie-interactive-et-jeux-divers-no174.php" htmlFormat="all"/>
  </connection>
  <connection id="146" name="Connexion229" type="4" refreshedVersion="3" background="1" saveData="1">
    <webPr sourceData="1" parsePre="1" consecutive="1" xl2000="1" url="http://www.excel-pratique.com/fr/telechargements/jeux/magie-interactive-et-jeux-divers-no174.php" htmlFormat="all"/>
  </connection>
  <connection id="147" name="Connexion23" type="4" refreshedVersion="3" background="1" saveData="1">
    <webPr sourceData="1" parsePre="1" consecutive="1" xl2000="1" url="http://www.excel-pratique.com/fr/telechargements/jeux/magie-interactive-et-jeux-divers-no174.php" htmlFormat="all"/>
  </connection>
  <connection id="148" name="Connexion230" type="4" refreshedVersion="3" background="1" saveData="1">
    <webPr sourceData="1" parsePre="1" consecutive="1" xl2000="1" url="http://www.excel-pratique.com/fr/telechargements/jeux/magie-interactive-et-jeux-divers-no174.php" htmlFormat="all"/>
  </connection>
  <connection id="149" name="Connexion231" type="4" refreshedVersion="3" background="1" saveData="1">
    <webPr sourceData="1" parsePre="1" consecutive="1" xl2000="1" url="http://www.excel-pratique.com/fr/telechargements/jeux/magie-interactive-et-jeux-divers-no174.php" htmlFormat="all"/>
  </connection>
  <connection id="150" name="Connexion232" type="4" refreshedVersion="3" background="1" saveData="1">
    <webPr sourceData="1" parsePre="1" consecutive="1" xl2000="1" url="http://www.excel-pratique.com/fr/telechargements/jeux/magie-interactive-et-jeux-divers-no174.php" htmlFormat="all"/>
  </connection>
  <connection id="151" name="Connexion233" type="4" refreshedVersion="3" background="1" saveData="1">
    <webPr sourceData="1" parsePre="1" consecutive="1" xl2000="1" url="http://www.excel-pratique.com/fr/telechargements/jeux/magie-interactive-et-jeux-divers-no174.php" htmlFormat="all"/>
  </connection>
  <connection id="152" name="Connexion234" type="4" refreshedVersion="3" background="1" saveData="1">
    <webPr sourceData="1" parsePre="1" consecutive="1" xl2000="1" url="http://www.excel-pratique.com/fr/telechargements/jeux/magie-interactive-et-jeux-divers-no174.php" htmlFormat="all"/>
  </connection>
  <connection id="153" name="Connexion235" type="4" refreshedVersion="3" background="1" saveData="1">
    <webPr sourceData="1" parsePre="1" consecutive="1" xl2000="1" url="http://www.excel-pratique.com/fr/telechargements/jeux/magie-interactive-et-jeux-divers-no174.php" htmlFormat="all"/>
  </connection>
  <connection id="154" name="Connexion236" type="4" refreshedVersion="3" background="1" saveData="1">
    <webPr sourceData="1" parsePre="1" consecutive="1" xl2000="1" url="http://www.excel-pratique.com/fr/telechargements/jeux/magie-interactive-et-jeux-divers-no174.php" htmlFormat="all"/>
  </connection>
  <connection id="155" name="Connexion237" type="4" refreshedVersion="3" background="1" saveData="1">
    <webPr sourceData="1" parsePre="1" consecutive="1" xl2000="1" url="http://www.excel-pratique.com/fr/telechargements/jeux/magie-interactive-et-jeux-divers-no174.php" htmlFormat="all"/>
  </connection>
  <connection id="156" name="Connexion238" type="4" refreshedVersion="3" background="1" saveData="1">
    <webPr sourceData="1" parsePre="1" consecutive="1" xl2000="1" url="http://www.excel-pratique.com/fr/telechargements/jeux/magie-interactive-et-jeux-divers-no174.php" htmlFormat="all"/>
  </connection>
  <connection id="157" name="Connexion239" type="4" refreshedVersion="0" background="1">
    <webPr url="http://www.excel-pratique.com/fr/telechargements/jeux/magie-interactive-et-jeux-divers-no174.php" htmlTables="1" htmlFormat="all"/>
  </connection>
  <connection id="158" name="Connexion24" type="4" refreshedVersion="3" background="1" saveData="1">
    <webPr sourceData="1" parsePre="1" consecutive="1" xl2000="1" url="http://www.excel-pratique.com/fr/telechargements/jeux/magie-interactive-et-jeux-divers-no174.php" htmlFormat="all"/>
  </connection>
  <connection id="159" name="Connexion240" type="4" refreshedVersion="0" background="1">
    <webPr url="http://www.excel-pratique.com/fr/telechargements/jeux/magie-interactive-et-jeux-divers-no174.php" htmlTables="1" htmlFormat="all"/>
  </connection>
  <connection id="160" name="Connexion241" type="4" refreshedVersion="3" background="1" saveData="1">
    <webPr sourceData="1" parsePre="1" consecutive="1" xl2000="1" url="http://www.excel-pratique.com/fr/telechargements/jeux/magie-interactive-et-jeux-divers-no174.php" htmlFormat="all"/>
  </connection>
  <connection id="161" name="Connexion242" type="4" refreshedVersion="0" background="1">
    <webPr url="http://www.excel-pratique.com/fr/telechargements/jeux/magie-interactive-et-jeux-divers-no174.php" htmlTables="1" htmlFormat="all"/>
  </connection>
  <connection id="162" name="Connexion243" type="4" refreshedVersion="3" background="1" saveData="1">
    <webPr sourceData="1" parsePre="1" consecutive="1" xl2000="1" url="http://www.excel-pratique.com/fr/telechargements/jeux/magie-interactive-et-jeux-divers-no174.php" htmlFormat="all"/>
  </connection>
  <connection id="163" name="Connexion244" type="4" refreshedVersion="3" background="1" saveData="1">
    <webPr sourceData="1" parsePre="1" consecutive="1" xl2000="1" url="http://www.excel-pratique.com/fr/telechargements/jeux/magie-interactive-et-jeux-divers-no174.php" htmlFormat="all"/>
  </connection>
  <connection id="164" name="Connexion245" type="4" refreshedVersion="3" background="1" saveData="1">
    <webPr sourceData="1" parsePre="1" consecutive="1" xl2000="1" url="http://www.excel-pratique.com/fr/telechargements/jeux/magie-interactive-et-jeux-divers-no174.php" htmlFormat="all"/>
  </connection>
  <connection id="165" name="Connexion246" type="4" refreshedVersion="3" background="1" saveData="1">
    <webPr sourceData="1" parsePre="1" consecutive="1" xl2000="1" url="http://www.excel-pratique.com/fr/telechargements/jeux/magie-interactive-et-jeux-divers-no174.php" htmlFormat="all"/>
  </connection>
  <connection id="166" name="Connexion247" type="4" refreshedVersion="3" background="1" saveData="1">
    <webPr sourceData="1" parsePre="1" consecutive="1" xl2000="1" url="http://www.excel-pratique.com/fr/telechargements/jeux/magie-interactive-et-jeux-divers-no174.php" htmlFormat="all"/>
  </connection>
  <connection id="167" name="Connexion248" type="4" refreshedVersion="3" background="1" saveData="1">
    <webPr sourceData="1" parsePre="1" consecutive="1" xl2000="1" url="http://www.excel-pratique.com/fr/telechargements/jeux/magie-interactive-et-jeux-divers-no174.php" htmlFormat="all"/>
  </connection>
  <connection id="168" name="Connexion249" type="4" refreshedVersion="3" background="1" saveData="1">
    <webPr sourceData="1" parsePre="1" consecutive="1" xl2000="1" url="http://www.excel-pratique.com/fr/telechargements/jeux/magie-interactive-et-jeux-divers-no174.php" htmlFormat="all"/>
  </connection>
  <connection id="169" name="Connexion25" type="4" refreshedVersion="3" background="1" saveData="1">
    <webPr sourceData="1" parsePre="1" consecutive="1" xl2000="1" url="http://www.excel-pratique.com/fr/telechargements/jeux/magie-interactive-et-jeux-divers-no174.php" htmlFormat="all"/>
  </connection>
  <connection id="170" name="Connexion250" type="4" refreshedVersion="3" background="1" saveData="1">
    <webPr sourceData="1" parsePre="1" consecutive="1" xl2000="1" url="http://www.excel-pratique.com/fr/telechargements/jeux/magie-interactive-et-jeux-divers-no174.php" htmlFormat="all"/>
  </connection>
  <connection id="171" name="Connexion251" type="4" refreshedVersion="3" background="1" saveData="1">
    <webPr sourceData="1" parsePre="1" consecutive="1" xl2000="1" url="http://www.excel-pratique.com/fr/telechargements/jeux/magie-interactive-et-jeux-divers-no174.php" htmlFormat="all"/>
  </connection>
  <connection id="172" name="Connexion252" type="4" refreshedVersion="3" background="1" saveData="1">
    <webPr sourceData="1" parsePre="1" consecutive="1" xl2000="1" url="http://www.excel-pratique.com/fr/telechargements/jeux/magie-interactive-et-jeux-divers-no174.php" htmlFormat="all"/>
  </connection>
  <connection id="173" name="Connexion253" type="4" refreshedVersion="3" background="1" saveData="1">
    <webPr sourceData="1" parsePre="1" consecutive="1" xl2000="1" url="http://www.excel-pratique.com/fr/telechargements/jeux/magie-interactive-et-jeux-divers-no174.php" htmlFormat="all"/>
  </connection>
  <connection id="174" name="Connexion254" type="4" refreshedVersion="3" background="1" saveData="1">
    <webPr sourceData="1" parsePre="1" consecutive="1" xl2000="1" url="http://www.excel-pratique.com/fr/telechargements/jeux/magie-interactive-et-jeux-divers-no174.php" htmlFormat="all"/>
  </connection>
  <connection id="175" name="Connexion255" type="4" refreshedVersion="3" background="1" saveData="1">
    <webPr sourceData="1" parsePre="1" consecutive="1" xl2000="1" url="http://www.excel-pratique.com/fr/telechargements/jeux/magie-interactive-et-jeux-divers-no174.php" htmlFormat="all"/>
  </connection>
  <connection id="176" name="Connexion256" type="4" refreshedVersion="3" background="1" saveData="1">
    <webPr sourceData="1" parsePre="1" consecutive="1" xl2000="1" url="http://www.excel-pratique.com/fr/telechargements/jeux/magie-interactive-et-jeux-divers-no174.php" htmlFormat="all"/>
  </connection>
  <connection id="177" name="Connexion257" type="4" refreshedVersion="3" background="1" saveData="1">
    <webPr sourceData="1" parsePre="1" consecutive="1" xl2000="1" url="http://www.excel-pratique.com/fr/telechargements/jeux/magie-interactive-et-jeux-divers-no174.php" htmlFormat="all"/>
  </connection>
  <connection id="178" name="Connexion258" type="4" refreshedVersion="3" background="1" saveData="1">
    <webPr sourceData="1" parsePre="1" consecutive="1" xl2000="1" url="http://www.excel-pratique.com/fr/telechargements/jeux/magie-interactive-et-jeux-divers-no174.php" htmlFormat="all"/>
  </connection>
  <connection id="179" name="Connexion259" type="4" refreshedVersion="3" background="1" saveData="1">
    <webPr sourceData="1" parsePre="1" consecutive="1" xl2000="1" url="http://www.excel-pratique.com/fr/telechargements/jeux/magie-interactive-et-jeux-divers-no174.php" htmlFormat="all"/>
  </connection>
  <connection id="180" name="Connexion26" type="4" refreshedVersion="3" background="1" saveData="1">
    <webPr sourceData="1" parsePre="1" consecutive="1" xl2000="1" url="http://www.excel-pratique.com/fr/telechargements/jeux/magie-interactive-et-jeux-divers-no174.php" htmlFormat="all"/>
  </connection>
  <connection id="181" name="Connexion260" type="4" refreshedVersion="3" background="1" saveData="1">
    <webPr sourceData="1" parsePre="1" consecutive="1" xl2000="1" url="http://www.excel-pratique.com/fr/telechargements/jeux/magie-interactive-et-jeux-divers-no174.php" htmlFormat="all"/>
  </connection>
  <connection id="182" name="Connexion261" type="4" refreshedVersion="3" background="1" saveData="1">
    <webPr sourceData="1" parsePre="1" consecutive="1" xl2000="1" url="http://www.excel-pratique.com/fr/telechargements/jeux/magie-interactive-et-jeux-divers-no174.php" htmlFormat="all"/>
  </connection>
  <connection id="183" name="Connexion262" type="4" refreshedVersion="3" background="1" saveData="1">
    <webPr sourceData="1" parsePre="1" consecutive="1" xl2000="1" url="http://www.excel-pratique.com/fr/telechargements/jeux/magie-interactive-et-jeux-divers-no174.php" htmlFormat="all"/>
  </connection>
  <connection id="184" name="Connexion263" type="4" refreshedVersion="3" background="1" saveData="1">
    <webPr sourceData="1" parsePre="1" consecutive="1" xl2000="1" url="http://www.excel-pratique.com/fr/telechargements/jeux/magie-interactive-et-jeux-divers-no174.php" htmlFormat="all"/>
  </connection>
  <connection id="185" name="Connexion264" type="4" refreshedVersion="3" background="1" saveData="1">
    <webPr sourceData="1" parsePre="1" consecutive="1" xl2000="1" url="http://www.excel-pratique.com/fr/telechargements/jeux/magie-interactive-et-jeux-divers-no174.php" htmlFormat="all"/>
  </connection>
  <connection id="186" name="Connexion265" type="4" refreshedVersion="3" background="1" saveData="1">
    <webPr sourceData="1" parsePre="1" consecutive="1" xl2000="1" url="http://www.excel-pratique.com/fr/telechargements/jeux/magie-interactive-et-jeux-divers-no174.php" htmlFormat="all"/>
  </connection>
  <connection id="187" name="Connexion266" type="4" refreshedVersion="3" background="1" saveData="1">
    <webPr sourceData="1" parsePre="1" consecutive="1" xl2000="1" url="http://www.excel-pratique.com/fr/telechargements/jeux/magie-interactive-et-jeux-divers-no174.php" htmlFormat="all"/>
  </connection>
  <connection id="188" name="Connexion267" type="4" refreshedVersion="3" background="1" saveData="1">
    <webPr sourceData="1" parsePre="1" consecutive="1" xl2000="1" url="http://www.excel-pratique.com/fr/telechargements/jeux/magie-interactive-et-jeux-divers-no174.php" htmlFormat="all"/>
  </connection>
  <connection id="189" name="Connexion268" type="4" refreshedVersion="3" background="1" saveData="1">
    <webPr sourceData="1" parsePre="1" consecutive="1" xl2000="1" url="http://www.excel-pratique.com/fr/telechargements/jeux/magie-interactive-et-jeux-divers-no174.php" htmlFormat="all"/>
  </connection>
  <connection id="190" name="Connexion269" type="4" refreshedVersion="3" background="1" saveData="1">
    <webPr sourceData="1" parsePre="1" consecutive="1" xl2000="1" url="http://www.excel-pratique.com/fr/telechargements/jeux/magie-interactive-et-jeux-divers-no174.php" htmlFormat="all"/>
  </connection>
  <connection id="191" name="Connexion27" type="4" refreshedVersion="3" background="1" saveData="1">
    <webPr sourceData="1" parsePre="1" consecutive="1" xl2000="1" url="http://www.excel-pratique.com/fr/telechargements/jeux/magie-interactive-et-jeux-divers-no174.php" htmlFormat="all"/>
  </connection>
  <connection id="192" name="Connexion270" type="4" refreshedVersion="3" background="1" saveData="1">
    <webPr sourceData="1" parsePre="1" consecutive="1" xl2000="1" url="http://www.excel-pratique.com/fr/telechargements/jeux/magie-interactive-et-jeux-divers-no174.php" htmlFormat="all"/>
  </connection>
  <connection id="193" name="Connexion271" type="4" refreshedVersion="3" background="1" saveData="1">
    <webPr sourceData="1" parsePre="1" consecutive="1" xl2000="1" url="http://www.excel-pratique.com/fr/telechargements/jeux/magie-interactive-et-jeux-divers-no174.php" htmlFormat="all"/>
  </connection>
  <connection id="194" name="Connexion272" type="4" refreshedVersion="3" background="1" saveData="1">
    <webPr sourceData="1" parsePre="1" consecutive="1" xl2000="1" url="http://www.excel-pratique.com/fr/telechargements/jeux/magie-interactive-et-jeux-divers-no174.php" htmlFormat="all"/>
  </connection>
  <connection id="195" name="Connexion273" type="4" refreshedVersion="3" background="1" saveData="1">
    <webPr sourceData="1" parsePre="1" consecutive="1" xl2000="1" url="http://www.excel-pratique.com/fr/telechargements/jeux/magie-interactive-et-jeux-divers-no174.php" htmlFormat="all"/>
  </connection>
  <connection id="196" name="Connexion274" type="4" refreshedVersion="3" background="1" saveData="1">
    <webPr sourceData="1" parsePre="1" consecutive="1" xl2000="1" url="http://www.excel-pratique.com/fr/telechargements/jeux/magie-interactive-et-jeux-divers-no174.php" htmlFormat="all"/>
  </connection>
  <connection id="197" name="Connexion275" type="4" refreshedVersion="3" background="1" saveData="1">
    <webPr sourceData="1" parsePre="1" consecutive="1" xl2000="1" url="http://www.excel-pratique.com/fr/telechargements/jeux/magie-interactive-et-jeux-divers-no174.php" htmlFormat="all"/>
  </connection>
  <connection id="198" name="Connexion276" type="4" refreshedVersion="3" background="1" saveData="1">
    <webPr sourceData="1" parsePre="1" consecutive="1" xl2000="1" url="http://www.excel-pratique.com/fr/telechargements/jeux/magie-interactive-et-jeux-divers-no174.php" htmlFormat="all"/>
  </connection>
  <connection id="199" name="Connexion277" type="4" refreshedVersion="3" background="1" saveData="1">
    <webPr sourceData="1" parsePre="1" consecutive="1" xl2000="1" url="http://www.excel-pratique.com/fr/telechargements/jeux/magie-interactive-et-jeux-divers-no174.php" htmlFormat="all"/>
  </connection>
  <connection id="200" name="Connexion278" type="4" refreshedVersion="3" background="1" saveData="1">
    <webPr sourceData="1" parsePre="1" consecutive="1" xl2000="1" url="http://www.excel-pratique.com/fr/telechargements/jeux/magie-interactive-et-jeux-divers-no174.php" htmlFormat="all"/>
  </connection>
  <connection id="201" name="Connexion279" type="4" refreshedVersion="3" background="1" saveData="1">
    <webPr sourceData="1" parsePre="1" consecutive="1" xl2000="1" url="http://www.excel-pratique.com/fr/telechargements/jeux/magie-interactive-et-jeux-divers-no174.php" htmlFormat="all"/>
  </connection>
  <connection id="202" name="Connexion28" type="4" refreshedVersion="3" background="1" saveData="1">
    <webPr sourceData="1" parsePre="1" consecutive="1" xl2000="1" url="http://www.excel-pratique.com/fr/telechargements/jeux/magie-interactive-et-jeux-divers-no174.php" htmlFormat="all"/>
  </connection>
  <connection id="203" name="Connexion280" type="4" refreshedVersion="3" background="1" saveData="1">
    <webPr sourceData="1" parsePre="1" consecutive="1" xl2000="1" url="http://www.excel-pratique.com/fr/telechargements/jeux/magie-interactive-et-jeux-divers-no174.php" htmlFormat="all"/>
  </connection>
  <connection id="204" name="Connexion281" type="4" refreshedVersion="0" background="1">
    <webPr url="http://www.excel-pratique.com/fr/telechargements/jeux/magie-interactive-et-jeux-divers-no174.php" htmlTables="1" htmlFormat="all"/>
  </connection>
  <connection id="205" name="Connexion282" type="4" refreshedVersion="3" background="1" saveData="1">
    <webPr sourceData="1" parsePre="1" consecutive="1" xl2000="1" url="http://www.excel-pratique.com/fr/telechargements/jeux/magie-interactive-et-jeux-divers-no174.php" htmlFormat="all"/>
  </connection>
  <connection id="206" name="Connexion283" type="4" refreshedVersion="3" background="1" saveData="1">
    <webPr sourceData="1" parsePre="1" consecutive="1" xl2000="1" url="http://www.excel-pratique.com/fr/telechargements/jeux/magie-interactive-et-jeux-divers-no174.php" htmlFormat="all"/>
  </connection>
  <connection id="207" name="Connexion284" type="4" refreshedVersion="3" background="1" saveData="1">
    <webPr sourceData="1" parsePre="1" consecutive="1" xl2000="1" url="http://www.excel-pratique.com/fr/telechargements/jeux/magie-interactive-et-jeux-divers-no174.php" htmlFormat="all"/>
  </connection>
  <connection id="208" name="Connexion285" type="4" refreshedVersion="3" background="1" saveData="1">
    <webPr sourceData="1" parsePre="1" consecutive="1" xl2000="1" url="http://www.excel-pratique.com/fr/telechargements/jeux/magie-interactive-et-jeux-divers-no174.php" htmlFormat="all"/>
  </connection>
  <connection id="209" name="Connexion286" type="4" refreshedVersion="3" background="1" saveData="1">
    <webPr sourceData="1" parsePre="1" consecutive="1" xl2000="1" url="http://www.excel-pratique.com/fr/telechargements/jeux/magie-interactive-et-jeux-divers-no174.php" htmlFormat="all"/>
  </connection>
  <connection id="210" name="Connexion287" type="4" refreshedVersion="3" background="1" saveData="1">
    <webPr sourceData="1" parsePre="1" consecutive="1" xl2000="1" url="http://www.excel-pratique.com/fr/telechargements/jeux/magie-interactive-et-jeux-divers-no174.php" htmlFormat="all"/>
  </connection>
  <connection id="211" name="Connexion288" type="4" refreshedVersion="3" background="1" saveData="1">
    <webPr sourceData="1" parsePre="1" consecutive="1" xl2000="1" url="http://www.excel-pratique.com/fr/telechargements/jeux/magie-interactive-et-jeux-divers-no174.php" htmlFormat="all"/>
  </connection>
  <connection id="212" name="Connexion289" type="4" refreshedVersion="3" background="1" saveData="1">
    <webPr sourceData="1" parsePre="1" consecutive="1" xl2000="1" url="http://www.excel-pratique.com/fr/telechargements/jeux/magie-interactive-et-jeux-divers-no174.php" htmlFormat="all"/>
  </connection>
  <connection id="213" name="Connexion29" type="4" refreshedVersion="3" background="1" saveData="1">
    <webPr sourceData="1" parsePre="1" consecutive="1" xl2000="1" url="http://www.excel-pratique.com/fr/telechargements/jeux/magie-interactive-et-jeux-divers-no174.php" htmlFormat="all"/>
  </connection>
  <connection id="214" name="Connexion290" type="4" refreshedVersion="3" background="1" saveData="1">
    <webPr sourceData="1" parsePre="1" consecutive="1" xl2000="1" url="http://www.excel-pratique.com/fr/telechargements/jeux/magie-interactive-et-jeux-divers-no174.php" htmlFormat="all"/>
  </connection>
  <connection id="215" name="Connexion291" type="4" refreshedVersion="3" background="1" saveData="1">
    <webPr sourceData="1" parsePre="1" consecutive="1" xl2000="1" url="http://www.excel-pratique.com/fr/telechargements/jeux/magie-interactive-et-jeux-divers-no174.php" htmlFormat="all"/>
  </connection>
  <connection id="216" name="Connexion292" type="4" refreshedVersion="3" background="1" saveData="1">
    <webPr sourceData="1" parsePre="1" consecutive="1" xl2000="1" url="http://www.excel-pratique.com/fr/telechargements/jeux/magie-interactive-et-jeux-divers-no174.php" htmlFormat="all"/>
  </connection>
  <connection id="217" name="Connexion293" type="4" refreshedVersion="3" background="1" saveData="1">
    <webPr sourceData="1" parsePre="1" consecutive="1" xl2000="1" url="http://www.excel-pratique.com/fr/telechargements/jeux/magie-interactive-et-jeux-divers-no174.php" htmlFormat="all"/>
  </connection>
  <connection id="218" name="Connexion294" type="4" refreshedVersion="3" background="1" saveData="1">
    <webPr sourceData="1" parsePre="1" consecutive="1" xl2000="1" url="http://www.excel-pratique.com/fr/telechargements/jeux/magie-interactive-et-jeux-divers-no174.php" htmlFormat="all"/>
  </connection>
  <connection id="219" name="Connexion295" type="4" refreshedVersion="3" background="1" saveData="1">
    <webPr sourceData="1" parsePre="1" consecutive="1" xl2000="1" url="http://www.excel-pratique.com/fr/telechargements/jeux/magie-interactive-et-jeux-divers-no174.php" htmlFormat="all"/>
  </connection>
  <connection id="220" name="Connexion296" type="4" refreshedVersion="3" background="1" saveData="1">
    <webPr sourceData="1" parsePre="1" consecutive="1" xl2000="1" url="http://www.excel-pratique.com/fr/telechargements/jeux/magie-interactive-et-jeux-divers-no174.php" htmlFormat="all"/>
  </connection>
  <connection id="221" name="Connexion297" type="4" refreshedVersion="3" background="1" saveData="1">
    <webPr sourceData="1" parsePre="1" consecutive="1" xl2000="1" url="http://www.excel-pratique.com/fr/telechargements/jeux/magie-interactive-et-jeux-divers-no174.php" htmlFormat="all"/>
  </connection>
  <connection id="222" name="Connexion298" type="4" refreshedVersion="3" background="1" saveData="1">
    <webPr sourceData="1" parsePre="1" consecutive="1" xl2000="1" url="http://www.excel-pratique.com/fr/telechargements/jeux/magie-interactive-et-jeux-divers-no174.php" htmlFormat="all"/>
  </connection>
  <connection id="223" name="Connexion299" type="4" refreshedVersion="3" background="1" saveData="1">
    <webPr sourceData="1" parsePre="1" consecutive="1" xl2000="1" url="http://www.excel-pratique.com/fr/telechargements/jeux/magie-interactive-et-jeux-divers-no174.php" htmlFormat="all"/>
  </connection>
  <connection id="224" name="Connexion3" type="4" refreshedVersion="3" background="1" saveData="1">
    <webPr sourceData="1" parsePre="1" consecutive="1" xl2000="1" url="http://www.excel-pratique.com/fr/telechargements/jeux/magie-interactive-et-jeux-divers-no174.php" htmlFormat="all"/>
  </connection>
  <connection id="225" name="Connexion30" type="4" refreshedVersion="3" background="1" saveData="1">
    <webPr sourceData="1" parsePre="1" consecutive="1" xl2000="1" url="http://www.excel-pratique.com/fr/telechargements/jeux/magie-interactive-et-jeux-divers-no174.php" htmlFormat="all"/>
  </connection>
  <connection id="226" name="Connexion300" type="4" refreshedVersion="3" background="1" saveData="1">
    <webPr sourceData="1" parsePre="1" consecutive="1" xl2000="1" url="http://www.excel-pratique.com/fr/telechargements/jeux/magie-interactive-et-jeux-divers-no174.php" htmlFormat="all"/>
  </connection>
  <connection id="227" name="Connexion301" type="4" refreshedVersion="3" background="1" saveData="1">
    <webPr sourceData="1" parsePre="1" consecutive="1" xl2000="1" url="http://www.excel-pratique.com/fr/telechargements/jeux/magie-interactive-et-jeux-divers-no174.php" htmlFormat="all"/>
  </connection>
  <connection id="228" name="Connexion302" type="4" refreshedVersion="3" background="1" saveData="1">
    <webPr sourceData="1" parsePre="1" consecutive="1" xl2000="1" url="http://www.excel-pratique.com/fr/telechargements/jeux/magie-interactive-et-jeux-divers-no174.php" htmlFormat="all"/>
  </connection>
  <connection id="229" name="Connexion303" type="4" refreshedVersion="3" background="1" saveData="1">
    <webPr sourceData="1" parsePre="1" consecutive="1" xl2000="1" url="http://www.excel-pratique.com/fr/telechargements/jeux/magie-interactive-et-jeux-divers-no174.php" htmlFormat="all"/>
  </connection>
  <connection id="230" name="Connexion304" type="4" refreshedVersion="3" background="1" saveData="1">
    <webPr sourceData="1" parsePre="1" consecutive="1" xl2000="1" url="http://www.excel-pratique.com/fr/telechargements/jeux/magie-interactive-et-jeux-divers-no174.php" htmlFormat="all"/>
  </connection>
  <connection id="231" name="Connexion305" type="4" refreshedVersion="3" background="1" saveData="1">
    <webPr sourceData="1" parsePre="1" consecutive="1" xl2000="1" url="http://www.excel-pratique.com/fr/telechargements/jeux/magie-interactive-et-jeux-divers-no174.php" htmlFormat="all"/>
  </connection>
  <connection id="232" name="Connexion306" type="4" refreshedVersion="3" background="1" saveData="1">
    <webPr sourceData="1" parsePre="1" consecutive="1" xl2000="1" url="http://www.excel-pratique.com/fr/telechargements/jeux/magie-interactive-et-jeux-divers-no174.php" htmlFormat="all"/>
  </connection>
  <connection id="233" name="Connexion307" type="4" refreshedVersion="3" background="1" saveData="1">
    <webPr sourceData="1" parsePre="1" consecutive="1" xl2000="1" url="http://www.excel-pratique.com/fr/telechargements/jeux/magie-interactive-et-jeux-divers-no174.php" htmlFormat="all"/>
  </connection>
  <connection id="234" name="Connexion308" type="4" refreshedVersion="3" background="1" saveData="1">
    <webPr sourceData="1" parsePre="1" consecutive="1" xl2000="1" url="http://www.excel-pratique.com/fr/telechargements/jeux/magie-interactive-et-jeux-divers-no174.php" htmlFormat="all"/>
  </connection>
  <connection id="235" name="Connexion309" type="4" refreshedVersion="3" background="1" saveData="1">
    <webPr sourceData="1" parsePre="1" consecutive="1" xl2000="1" url="http://www.excel-pratique.com/fr/telechargements/jeux/magie-interactive-et-jeux-divers-no174.php" htmlFormat="all"/>
  </connection>
  <connection id="236" name="Connexion31" type="4" refreshedVersion="3" background="1" saveData="1">
    <webPr sourceData="1" parsePre="1" consecutive="1" xl2000="1" url="http://www.excel-pratique.com/fr/telechargements/jeux/magie-interactive-et-jeux-divers-no174.php" htmlFormat="all"/>
  </connection>
  <connection id="237" name="Connexion310" type="4" refreshedVersion="0" background="1">
    <webPr url="http://www.excel-pratique.com/fr/telechargements/jeux/magie-interactive-et-jeux-divers-no174.php" htmlTables="1" htmlFormat="all"/>
  </connection>
  <connection id="238" name="Connexion32" type="4" refreshedVersion="3" background="1" saveData="1">
    <webPr sourceData="1" parsePre="1" consecutive="1" xl2000="1" url="http://www.excel-pratique.com/fr/telechargements/jeux/magie-interactive-et-jeux-divers-no174.php" htmlFormat="all"/>
  </connection>
  <connection id="239" name="Connexion33" type="4" refreshedVersion="3" background="1" saveData="1">
    <webPr sourceData="1" parsePre="1" consecutive="1" xl2000="1" url="http://www.excel-pratique.com/fr/telechargements/jeux/magie-interactive-et-jeux-divers-no174.php" htmlFormat="all"/>
  </connection>
  <connection id="240" name="Connexion34" type="4" refreshedVersion="3" background="1" saveData="1">
    <webPr sourceData="1" parsePre="1" consecutive="1" xl2000="1" url="http://www.excel-pratique.com/fr/telechargements/jeux/magie-interactive-et-jeux-divers-no174.php" htmlFormat="all"/>
  </connection>
  <connection id="241" name="Connexion35" type="4" refreshedVersion="3" background="1" saveData="1">
    <webPr sourceData="1" parsePre="1" consecutive="1" xl2000="1" url="http://www.excel-pratique.com/fr/telechargements/jeux/magie-interactive-et-jeux-divers-no174.php" htmlFormat="all"/>
  </connection>
  <connection id="242" name="Connexion36" type="4" refreshedVersion="3" background="1" saveData="1">
    <webPr sourceData="1" parsePre="1" consecutive="1" xl2000="1" url="http://www.excel-pratique.com/fr/telechargements/jeux/magie-interactive-et-jeux-divers-no174.php" htmlFormat="all"/>
  </connection>
  <connection id="243" name="Connexion37" type="4" refreshedVersion="3" background="1" saveData="1">
    <webPr sourceData="1" parsePre="1" consecutive="1" xl2000="1" url="http://www.excel-pratique.com/fr/telechargements/jeux/magie-interactive-et-jeux-divers-no174.php" htmlFormat="all"/>
  </connection>
  <connection id="244" name="Connexion38" type="4" refreshedVersion="3" background="1" saveData="1">
    <webPr sourceData="1" parsePre="1" consecutive="1" xl2000="1" url="http://www.excel-pratique.com/fr/telechargements/jeux/magie-interactive-et-jeux-divers-no174.php" htmlFormat="all"/>
  </connection>
  <connection id="245" name="Connexion39" type="4" refreshedVersion="3" background="1" saveData="1">
    <webPr sourceData="1" parsePre="1" consecutive="1" xl2000="1" url="http://www.excel-pratique.com/fr/telechargements/jeux/magie-interactive-et-jeux-divers-no174.php" htmlFormat="all"/>
  </connection>
  <connection id="246" name="Connexion4" type="4" refreshedVersion="3" background="1" saveData="1">
    <webPr sourceData="1" parsePre="1" consecutive="1" xl2000="1" url="http://www.excel-pratique.com/fr/telechargements/jeux/magie-interactive-et-jeux-divers-no174.php" htmlFormat="all"/>
  </connection>
  <connection id="247" name="Connexion40" type="4" refreshedVersion="3" background="1" saveData="1">
    <webPr sourceData="1" parsePre="1" consecutive="1" xl2000="1" url="http://www.excel-pratique.com/fr/telechargements/jeux/magie-interactive-et-jeux-divers-no174.php" htmlFormat="all"/>
  </connection>
  <connection id="248" name="Connexion41" type="4" refreshedVersion="3" background="1" saveData="1">
    <webPr sourceData="1" parsePre="1" consecutive="1" xl2000="1" url="http://www.excel-pratique.com/fr/telechargements/jeux/magie-interactive-et-jeux-divers-no174.php" htmlFormat="all"/>
  </connection>
  <connection id="249" name="Connexion42" type="4" refreshedVersion="3" background="1" saveData="1">
    <webPr sourceData="1" parsePre="1" consecutive="1" xl2000="1" url="http://www.excel-pratique.com/fr/telechargements/jeux/magie-interactive-et-jeux-divers-no174.php" htmlFormat="all"/>
  </connection>
  <connection id="250" name="Connexion43" type="4" refreshedVersion="3" background="1" saveData="1">
    <webPr sourceData="1" parsePre="1" consecutive="1" xl2000="1" url="http://www.excel-pratique.com/fr/telechargements/jeux/magie-interactive-et-jeux-divers-no174.php" htmlFormat="all"/>
  </connection>
  <connection id="251" name="Connexion44" type="4" refreshedVersion="3" background="1" saveData="1">
    <webPr sourceData="1" parsePre="1" consecutive="1" xl2000="1" url="http://www.excel-pratique.com/fr/telechargements/jeux/magie-interactive-et-jeux-divers-no174.php" htmlFormat="all"/>
  </connection>
  <connection id="252" name="Connexion45" type="4" refreshedVersion="3" background="1" saveData="1">
    <webPr sourceData="1" parsePre="1" consecutive="1" xl2000="1" url="http://www.excel-pratique.com/fr/telechargements/jeux/magie-interactive-et-jeux-divers-no174.php" htmlFormat="all"/>
  </connection>
  <connection id="253" name="Connexion46" type="4" refreshedVersion="3" background="1" saveData="1">
    <webPr sourceData="1" parsePre="1" consecutive="1" xl2000="1" url="http://www.excel-pratique.com/fr/telechargements/jeux/magie-interactive-et-jeux-divers-no174.php" htmlFormat="all"/>
  </connection>
  <connection id="254" name="Connexion47" type="4" refreshedVersion="3" background="1" saveData="1">
    <webPr sourceData="1" parsePre="1" consecutive="1" xl2000="1" url="http://www.excel-pratique.com/fr/telechargements/jeux/magie-interactive-et-jeux-divers-no174.php" htmlFormat="all"/>
  </connection>
  <connection id="255" name="Connexion48" type="4" refreshedVersion="3" background="1" saveData="1">
    <webPr sourceData="1" parsePre="1" consecutive="1" xl2000="1" url="http://www.excel-pratique.com/fr/telechargements/jeux/magie-interactive-et-jeux-divers-no174.php" htmlFormat="all"/>
  </connection>
  <connection id="256" name="Connexion49" type="4" refreshedVersion="3" background="1" saveData="1">
    <webPr sourceData="1" parsePre="1" consecutive="1" xl2000="1" url="http://www.excel-pratique.com/fr/telechargements/jeux/magie-interactive-et-jeux-divers-no174.php" htmlFormat="all"/>
  </connection>
  <connection id="257" name="Connexion5" type="4" refreshedVersion="3" background="1" saveData="1">
    <webPr sourceData="1" parsePre="1" consecutive="1" xl2000="1" url="http://www.excel-pratique.com/fr/telechargements/jeux/magie-interactive-et-jeux-divers-no174.php" htmlFormat="all"/>
  </connection>
  <connection id="258" name="Connexion50" type="4" refreshedVersion="3" background="1" saveData="1">
    <webPr sourceData="1" parsePre="1" consecutive="1" xl2000="1" url="http://www.excel-pratique.com/fr/telechargements/jeux/magie-interactive-et-jeux-divers-no174.php" htmlFormat="all"/>
  </connection>
  <connection id="259" name="Connexion51" type="4" refreshedVersion="3" background="1" saveData="1">
    <webPr sourceData="1" parsePre="1" consecutive="1" xl2000="1" url="http://www.excel-pratique.com/fr/telechargements/jeux/magie-interactive-et-jeux-divers-no174.php" htmlFormat="all"/>
  </connection>
  <connection id="260" name="Connexion52" type="4" refreshedVersion="3" background="1" saveData="1">
    <webPr sourceData="1" parsePre="1" consecutive="1" xl2000="1" url="http://www.excel-pratique.com/fr/telechargements/jeux/magie-interactive-et-jeux-divers-no174.php" htmlFormat="all"/>
  </connection>
  <connection id="261" name="Connexion53" type="4" refreshedVersion="3" background="1" saveData="1">
    <webPr sourceData="1" parsePre="1" consecutive="1" xl2000="1" url="http://www.excel-pratique.com/fr/telechargements/jeux/magie-interactive-et-jeux-divers-no174.php" htmlFormat="all"/>
  </connection>
  <connection id="262" name="Connexion54" type="4" refreshedVersion="3" background="1" saveData="1">
    <webPr sourceData="1" parsePre="1" consecutive="1" xl2000="1" url="http://www.excel-pratique.com/fr/telechargements/jeux/magie-interactive-et-jeux-divers-no174.php" htmlFormat="all"/>
  </connection>
  <connection id="263" name="Connexion55" type="4" refreshedVersion="3" background="1" saveData="1">
    <webPr sourceData="1" parsePre="1" consecutive="1" xl2000="1" url="http://www.excel-pratique.com/fr/telechargements/jeux/magie-interactive-et-jeux-divers-no174.php" htmlFormat="all"/>
  </connection>
  <connection id="264" name="Connexion56" type="4" refreshedVersion="3" background="1" saveData="1">
    <webPr sourceData="1" parsePre="1" consecutive="1" xl2000="1" url="http://www.excel-pratique.com/fr/telechargements/jeux/magie-interactive-et-jeux-divers-no174.php" htmlFormat="all"/>
  </connection>
  <connection id="265" name="Connexion57" type="4" refreshedVersion="3" background="1" saveData="1">
    <webPr sourceData="1" parsePre="1" consecutive="1" xl2000="1" url="http://www.excel-pratique.com/fr/telechargements/jeux/magie-interactive-et-jeux-divers-no174.php" htmlFormat="all"/>
  </connection>
  <connection id="266" name="Connexion58" type="4" refreshedVersion="3" background="1" saveData="1">
    <webPr sourceData="1" parsePre="1" consecutive="1" xl2000="1" url="http://www.excel-pratique.com/fr/telechargements/jeux/magie-interactive-et-jeux-divers-no174.php" htmlFormat="all"/>
  </connection>
  <connection id="267" name="Connexion59" type="4" refreshedVersion="3" background="1" saveData="1">
    <webPr sourceData="1" parsePre="1" consecutive="1" xl2000="1" url="http://www.excel-pratique.com/fr/telechargements/jeux/magie-interactive-et-jeux-divers-no174.php" htmlFormat="all"/>
  </connection>
  <connection id="268" name="Connexion6" type="4" refreshedVersion="3" background="1" saveData="1">
    <webPr sourceData="1" parsePre="1" consecutive="1" xl2000="1" url="http://www.excel-pratique.com/fr/telechargements/jeux/magie-interactive-et-jeux-divers-no174.php" htmlFormat="all"/>
  </connection>
  <connection id="269" name="Connexion60" type="4" refreshedVersion="3" background="1" saveData="1">
    <webPr sourceData="1" parsePre="1" consecutive="1" xl2000="1" url="http://www.excel-pratique.com/fr/telechargements/jeux/magie-interactive-et-jeux-divers-no174.php" htmlFormat="all"/>
  </connection>
  <connection id="270" name="Connexion61" type="4" refreshedVersion="3" background="1" saveData="1">
    <webPr sourceData="1" parsePre="1" consecutive="1" xl2000="1" url="http://www.excel-pratique.com/fr/telechargements/jeux/magie-interactive-et-jeux-divers-no174.php" htmlFormat="all"/>
  </connection>
  <connection id="271" name="Connexion62" type="4" refreshedVersion="3" background="1" saveData="1">
    <webPr sourceData="1" parsePre="1" consecutive="1" xl2000="1" url="http://www.excel-pratique.com/fr/telechargements/jeux/magie-interactive-et-jeux-divers-no174.php" htmlFormat="all"/>
  </connection>
  <connection id="272" name="Connexion63" type="4" refreshedVersion="3" background="1" saveData="1">
    <webPr sourceData="1" parsePre="1" consecutive="1" xl2000="1" url="http://www.excel-pratique.com/fr/telechargements/jeux/magie-interactive-et-jeux-divers-no174.php" htmlFormat="all"/>
  </connection>
  <connection id="273" name="Connexion64" type="4" refreshedVersion="3" background="1" saveData="1">
    <webPr sourceData="1" parsePre="1" consecutive="1" xl2000="1" url="http://www.excel-pratique.com/fr/telechargements/jeux/magie-interactive-et-jeux-divers-no174.php" htmlFormat="all"/>
  </connection>
  <connection id="274" name="Connexion65" type="4" refreshedVersion="3" background="1" saveData="1">
    <webPr sourceData="1" parsePre="1" consecutive="1" xl2000="1" url="http://www.excel-pratique.com/fr/telechargements/jeux/magie-interactive-et-jeux-divers-no174.php" htmlFormat="all"/>
  </connection>
  <connection id="275" name="Connexion66" type="4" refreshedVersion="3" background="1" saveData="1">
    <webPr sourceData="1" parsePre="1" consecutive="1" xl2000="1" url="http://www.excel-pratique.com/fr/telechargements/jeux/magie-interactive-et-jeux-divers-no174.php" htmlFormat="all"/>
  </connection>
  <connection id="276" name="Connexion67" type="4" refreshedVersion="3" background="1" saveData="1">
    <webPr sourceData="1" parsePre="1" consecutive="1" xl2000="1" url="http://www.excel-pratique.com/fr/telechargements/jeux/magie-interactive-et-jeux-divers-no174.php" htmlFormat="all"/>
  </connection>
  <connection id="277" name="Connexion68" type="4" refreshedVersion="3" background="1" saveData="1">
    <webPr sourceData="1" parsePre="1" consecutive="1" xl2000="1" url="http://www.excel-pratique.com/fr/telechargements/jeux/magie-interactive-et-jeux-divers-no174.php" htmlFormat="all"/>
  </connection>
  <connection id="278" name="Connexion69" type="4" refreshedVersion="3" background="1" saveData="1">
    <webPr sourceData="1" parsePre="1" consecutive="1" xl2000="1" url="http://www.excel-pratique.com/fr/telechargements/jeux/magie-interactive-et-jeux-divers-no174.php" htmlFormat="all"/>
  </connection>
  <connection id="279" name="Connexion7" type="4" refreshedVersion="3" background="1" saveData="1">
    <webPr sourceData="1" parsePre="1" consecutive="1" xl2000="1" url="http://www.excel-pratique.com/fr/telechargements/jeux/magie-interactive-et-jeux-divers-no174.php" htmlFormat="all"/>
  </connection>
  <connection id="280" name="Connexion70" type="4" refreshedVersion="3" background="1" saveData="1">
    <webPr sourceData="1" parsePre="1" consecutive="1" xl2000="1" url="http://www.excel-pratique.com/fr/telechargements/jeux/magie-interactive-et-jeux-divers-no174.php" htmlFormat="all"/>
  </connection>
  <connection id="281" name="Connexion71" type="4" refreshedVersion="3" background="1" saveData="1">
    <webPr sourceData="1" parsePre="1" consecutive="1" xl2000="1" url="http://www.excel-pratique.com/fr/telechargements/jeux/magie-interactive-et-jeux-divers-no174.php" htmlFormat="all"/>
  </connection>
  <connection id="282" name="Connexion72" type="4" refreshedVersion="3" background="1" saveData="1">
    <webPr sourceData="1" parsePre="1" consecutive="1" xl2000="1" url="http://www.excel-pratique.com/fr/telechargements/jeux/magie-interactive-et-jeux-divers-no174.php" htmlFormat="all"/>
  </connection>
  <connection id="283" name="Connexion73" type="4" refreshedVersion="3" background="1" saveData="1">
    <webPr sourceData="1" parsePre="1" consecutive="1" xl2000="1" url="http://www.excel-pratique.com/fr/telechargements/jeux/magie-interactive-et-jeux-divers-no174.php" htmlFormat="all"/>
  </connection>
  <connection id="284" name="Connexion74" type="4" refreshedVersion="3" background="1" saveData="1">
    <webPr sourceData="1" parsePre="1" consecutive="1" xl2000="1" url="http://www.excel-pratique.com/fr/telechargements/jeux/magie-interactive-et-jeux-divers-no174.php" htmlFormat="all"/>
  </connection>
  <connection id="285" name="Connexion75" type="4" refreshedVersion="3" background="1" saveData="1">
    <webPr sourceData="1" parsePre="1" consecutive="1" xl2000="1" url="http://www.excel-pratique.com/fr/telechargements/jeux/magie-interactive-et-jeux-divers-no174.php" htmlFormat="all"/>
  </connection>
  <connection id="286" name="Connexion76" type="4" refreshedVersion="3" background="1" saveData="1">
    <webPr sourceData="1" parsePre="1" consecutive="1" xl2000="1" url="http://www.excel-pratique.com/fr/telechargements/jeux/magie-interactive-et-jeux-divers-no174.php" htmlFormat="all"/>
  </connection>
  <connection id="287" name="Connexion77" type="4" refreshedVersion="3" background="1" saveData="1">
    <webPr sourceData="1" parsePre="1" consecutive="1" xl2000="1" url="http://www.excel-pratique.com/fr/telechargements/jeux/magie-interactive-et-jeux-divers-no174.php" htmlFormat="all"/>
  </connection>
  <connection id="288" name="Connexion78" type="4" refreshedVersion="3" background="1" saveData="1">
    <webPr sourceData="1" parsePre="1" consecutive="1" xl2000="1" url="http://www.excel-pratique.com/fr/telechargements/jeux/magie-interactive-et-jeux-divers-no174.php" htmlFormat="all"/>
  </connection>
  <connection id="289" name="Connexion79" type="4" refreshedVersion="3" background="1" saveData="1">
    <webPr sourceData="1" parsePre="1" consecutive="1" xl2000="1" url="http://www.excel-pratique.com/fr/telechargements/jeux/magie-interactive-et-jeux-divers-no174.php" htmlFormat="all"/>
  </connection>
  <connection id="290" name="Connexion8" type="4" refreshedVersion="3" background="1" saveData="1">
    <webPr sourceData="1" parsePre="1" consecutive="1" xl2000="1" url="http://www.excel-pratique.com/fr/telechargements/jeux/magie-interactive-et-jeux-divers-no174.php" htmlFormat="all"/>
  </connection>
  <connection id="291" name="Connexion80" type="4" refreshedVersion="3" background="1" saveData="1">
    <webPr sourceData="1" parsePre="1" consecutive="1" xl2000="1" url="http://www.excel-pratique.com/fr/telechargements/jeux/magie-interactive-et-jeux-divers-no174.php" htmlFormat="all"/>
  </connection>
  <connection id="292" name="Connexion81" type="4" refreshedVersion="3" background="1" saveData="1">
    <webPr sourceData="1" parsePre="1" consecutive="1" xl2000="1" url="http://www.excel-pratique.com/fr/telechargements/jeux/magie-interactive-et-jeux-divers-no174.php" htmlFormat="all"/>
  </connection>
  <connection id="293" name="Connexion82" type="4" refreshedVersion="3" background="1" saveData="1">
    <webPr sourceData="1" parsePre="1" consecutive="1" xl2000="1" url="http://www.excel-pratique.com/fr/telechargements/jeux/magie-interactive-et-jeux-divers-no174.php" htmlFormat="all"/>
  </connection>
  <connection id="294" name="Connexion83" type="4" refreshedVersion="3" background="1" saveData="1">
    <webPr sourceData="1" parsePre="1" consecutive="1" xl2000="1" url="http://www.excel-pratique.com/fr/telechargements/jeux/magie-interactive-et-jeux-divers-no174.php" htmlFormat="all"/>
  </connection>
  <connection id="295" name="Connexion84" type="4" refreshedVersion="3" background="1" saveData="1">
    <webPr sourceData="1" parsePre="1" consecutive="1" xl2000="1" url="http://www.excel-pratique.com/fr/telechargements/jeux/magie-interactive-et-jeux-divers-no174.php" htmlFormat="all"/>
  </connection>
  <connection id="296" name="Connexion85" type="4" refreshedVersion="3" background="1" saveData="1">
    <webPr sourceData="1" parsePre="1" consecutive="1" xl2000="1" url="http://www.excel-pratique.com/fr/telechargements/jeux/magie-interactive-et-jeux-divers-no174.php" htmlFormat="all"/>
  </connection>
  <connection id="297" name="Connexion86" type="4" refreshedVersion="3" background="1" saveData="1">
    <webPr sourceData="1" parsePre="1" consecutive="1" xl2000="1" url="http://www.excel-pratique.com/fr/telechargements/jeux/magie-interactive-et-jeux-divers-no174.php" htmlFormat="all"/>
  </connection>
  <connection id="298" name="Connexion87" type="4" refreshedVersion="3" background="1" saveData="1">
    <webPr sourceData="1" parsePre="1" consecutive="1" xl2000="1" url="http://www.excel-pratique.com/fr/telechargements/jeux/magie-interactive-et-jeux-divers-no174.php" htmlFormat="all"/>
  </connection>
  <connection id="299" name="Connexion88" type="4" refreshedVersion="3" background="1" saveData="1">
    <webPr sourceData="1" parsePre="1" consecutive="1" xl2000="1" url="http://www.excel-pratique.com/fr/telechargements/jeux/magie-interactive-et-jeux-divers-no174.php" htmlFormat="all"/>
  </connection>
  <connection id="300" name="Connexion89" type="4" refreshedVersion="3" background="1" saveData="1">
    <webPr sourceData="1" parsePre="1" consecutive="1" xl2000="1" url="http://www.excel-pratique.com/fr/telechargements/jeux/magie-interactive-et-jeux-divers-no174.php" htmlFormat="all"/>
  </connection>
  <connection id="301" name="Connexion9" type="4" refreshedVersion="3" background="1" saveData="1">
    <webPr sourceData="1" parsePre="1" consecutive="1" xl2000="1" url="http://www.excel-pratique.com/fr/telechargements/jeux/magie-interactive-et-jeux-divers-no174.php" htmlFormat="all"/>
  </connection>
  <connection id="302" name="Connexion90" type="4" refreshedVersion="3" background="1" saveData="1">
    <webPr sourceData="1" parsePre="1" consecutive="1" xl2000="1" url="http://www.excel-pratique.com/fr/telechargements/jeux/magie-interactive-et-jeux-divers-no174.php" htmlFormat="all"/>
  </connection>
  <connection id="303" name="Connexion91" type="4" refreshedVersion="3" background="1" saveData="1">
    <webPr sourceData="1" parsePre="1" consecutive="1" xl2000="1" url="http://www.excel-pratique.com/fr/telechargements/jeux/magie-interactive-et-jeux-divers-no174.php" htmlFormat="all"/>
  </connection>
  <connection id="304" name="Connexion92" type="4" refreshedVersion="3" background="1" saveData="1">
    <webPr sourceData="1" parsePre="1" consecutive="1" xl2000="1" url="http://www.excel-pratique.com/fr/telechargements/jeux/magie-interactive-et-jeux-divers-no174.php" htmlFormat="all"/>
  </connection>
  <connection id="305" name="Connexion93" type="4" refreshedVersion="3" background="1" saveData="1">
    <webPr sourceData="1" parsePre="1" consecutive="1" xl2000="1" url="http://www.excel-pratique.com/fr/telechargements/jeux/magie-interactive-et-jeux-divers-no174.php" htmlFormat="all"/>
  </connection>
  <connection id="306" name="Connexion94" type="4" refreshedVersion="3" background="1" saveData="1">
    <webPr sourceData="1" parsePre="1" consecutive="1" xl2000="1" url="http://www.excel-pratique.com/fr/telechargements/jeux/magie-interactive-et-jeux-divers-no174.php" htmlFormat="all"/>
  </connection>
  <connection id="307" name="Connexion95" type="4" refreshedVersion="3" background="1" saveData="1">
    <webPr sourceData="1" parsePre="1" consecutive="1" xl2000="1" url="http://www.excel-pratique.com/fr/telechargements/jeux/magie-interactive-et-jeux-divers-no174.php" htmlFormat="all"/>
  </connection>
  <connection id="308" name="Connexion96" type="4" refreshedVersion="3" background="1" saveData="1">
    <webPr sourceData="1" parsePre="1" consecutive="1" xl2000="1" url="http://www.excel-pratique.com/fr/telechargements/jeux/magie-interactive-et-jeux-divers-no174.php" htmlFormat="all"/>
  </connection>
  <connection id="309" name="Connexion97" type="4" refreshedVersion="3" background="1" saveData="1">
    <webPr sourceData="1" parsePre="1" consecutive="1" xl2000="1" url="http://www.excel-pratique.com/fr/telechargements/jeux/magie-interactive-et-jeux-divers-no174.php" htmlFormat="all"/>
  </connection>
  <connection id="310" name="Connexion98" type="4" refreshedVersion="3" background="1" saveData="1">
    <webPr sourceData="1" parsePre="1" consecutive="1" xl2000="1" url="http://www.excel-pratique.com/fr/telechargements/jeux/magie-interactive-et-jeux-divers-no174.php" htmlFormat="all"/>
  </connection>
  <connection id="311" name="Connexion99" type="4" refreshedVersion="3" background="1" saveData="1">
    <webPr sourceData="1" parsePre="1" consecutive="1" xl2000="1" url="http://www.excel-pratique.com/fr/telechargements/jeux/magie-interactive-et-jeux-divers-no174.php" htmlFormat="all"/>
  </connection>
</connections>
</file>

<file path=xl/sharedStrings.xml><?xml version="1.0" encoding="utf-8"?>
<sst xmlns="http://schemas.openxmlformats.org/spreadsheetml/2006/main" count="977" uniqueCount="501">
  <si>
    <t>Deux pères et deux fils partent à la chasse.</t>
  </si>
  <si>
    <t>De retour chez eux, la mère cuisine leurs 3 bécasses.</t>
  </si>
  <si>
    <t>il y a le</t>
  </si>
  <si>
    <t>De quelle couleur sont les boites noires des avions ?</t>
  </si>
  <si>
    <t xml:space="preserve"> 1 )</t>
  </si>
  <si>
    <t xml:space="preserve"> 2 )</t>
  </si>
  <si>
    <t xml:space="preserve"> 3 )</t>
  </si>
  <si>
    <t>Un client vient te voir en ce qui concerne ton talent en tant que paysagiste.</t>
  </si>
  <si>
    <t>Il te demande de lui planter 10 arbres, en 5 rangées de 4 arbres.</t>
  </si>
  <si>
    <t>Quelle est la seule et unique solution qui résolverait le problème ?</t>
  </si>
  <si>
    <t xml:space="preserve"> 4 )</t>
  </si>
  <si>
    <t xml:space="preserve"> 5 )</t>
  </si>
  <si>
    <t>Combien en reste-t-il ?</t>
  </si>
  <si>
    <t>20 pigeons sont sur un fil électrique, vous en tuez un à coup de carabine.</t>
  </si>
  <si>
    <t xml:space="preserve"> 6 )</t>
  </si>
  <si>
    <t xml:space="preserve"> 7 )</t>
  </si>
  <si>
    <t>Un nénuphar double de surface chaque nuit. Au 15ème jour il recouvre la moitié de l'étang.</t>
  </si>
  <si>
    <t>La Carte Magique</t>
  </si>
  <si>
    <t xml:space="preserve"> 8 )</t>
  </si>
  <si>
    <t>Toi et moi avons chacun 100 €.</t>
  </si>
  <si>
    <t>Combien dois-je te donner si je souhaite que tu en ais 10 de plus que moi ?</t>
  </si>
  <si>
    <t xml:space="preserve"> 9 )</t>
  </si>
  <si>
    <t xml:space="preserve">Il s'agit de la </t>
  </si>
  <si>
    <r>
      <t xml:space="preserve">Qu'est-ce que la Hexakosioihexekontahexaphobie ?          </t>
    </r>
    <r>
      <rPr>
        <b/>
        <i/>
        <sz val="11"/>
        <color theme="3" tint="0.39997558519241921"/>
        <rFont val="Calibri"/>
        <family val="2"/>
        <scheme val="minor"/>
      </rPr>
      <t xml:space="preserve"> </t>
    </r>
  </si>
  <si>
    <t xml:space="preserve"> 10 ) </t>
  </si>
  <si>
    <t>Je suis ce que je suis. Mais je ne suis pas ce que je suis. Car si je suis ce que je suis. Je ne suis plus ce que je suis.</t>
  </si>
  <si>
    <t>Qui suis-je ?</t>
  </si>
  <si>
    <t xml:space="preserve"> 11 )</t>
  </si>
  <si>
    <t>En avance ou en retard elle viendra un jour ou l'autre avec la gloire.</t>
  </si>
  <si>
    <t>C'est une question de temps.</t>
  </si>
  <si>
    <t>Alors, il vaut mieux attendre pour l'entendre sonner.</t>
  </si>
  <si>
    <t xml:space="preserve"> 12 )</t>
  </si>
  <si>
    <t>Je suis rond mais je ne roule jamais.</t>
  </si>
  <si>
    <t xml:space="preserve">Frère des pharaons, je suis leur aîné. </t>
  </si>
  <si>
    <t>Je bouge tout le temps, mais je suis tout le temps à ma place.</t>
  </si>
  <si>
    <t>Inlassablement je poursuis celle qui me chasse.</t>
  </si>
  <si>
    <t xml:space="preserve"> 13 )</t>
  </si>
  <si>
    <t>Un Pommier se situe à égale distance d'un champ et d'un lac gelé.</t>
  </si>
  <si>
    <t>(nom d'un Pays)</t>
  </si>
  <si>
    <t>indice : Réponds à la question 12 et tu obtiendras un mot indice !</t>
  </si>
  <si>
    <t xml:space="preserve"> 14 )</t>
  </si>
  <si>
    <t>Si tu doubles le second dans un 100 mètres, en quelle position arrives-tu ?</t>
  </si>
  <si>
    <t>Si tu doubles le dernier dans un 100 mètres, en quelle position arrives-tu ?</t>
  </si>
  <si>
    <t xml:space="preserve"> 15 )</t>
  </si>
  <si>
    <t xml:space="preserve"> 16 )</t>
  </si>
  <si>
    <t>J'ai 10 paires de chaussettes noires et 5 paires de chaussettes blanches.</t>
  </si>
  <si>
    <t>Il faut les planter de façon à ce qu'ils forment un(e) …</t>
  </si>
  <si>
    <t>Quel est le plus lourd … Un kilo de plomb ou mille grammes de plumes ?</t>
  </si>
  <si>
    <t>(plomb ou plumes ?)</t>
  </si>
  <si>
    <t>(en nbr de jr)</t>
  </si>
  <si>
    <t xml:space="preserve"> 17 )</t>
  </si>
  <si>
    <t>étable</t>
  </si>
  <si>
    <t xml:space="preserve"> 18 )</t>
  </si>
  <si>
    <t xml:space="preserve"> 19 )</t>
  </si>
  <si>
    <t xml:space="preserve">Continuez cette suite logique … </t>
  </si>
  <si>
    <t xml:space="preserve"> 20 )</t>
  </si>
  <si>
    <t>Un bateau est sur l'eau. Il possède une échelle de 6 barreaux. Le 6ème barreau touche la surface de l'eau.</t>
  </si>
  <si>
    <t xml:space="preserve">Sachant que l'eau monte d'un barreau par demie-heure, </t>
  </si>
  <si>
    <t xml:space="preserve"> 21 )</t>
  </si>
  <si>
    <t xml:space="preserve"> 22 )</t>
  </si>
  <si>
    <t xml:space="preserve"> 23 )</t>
  </si>
  <si>
    <t xml:space="preserve"> 24 )</t>
  </si>
  <si>
    <t xml:space="preserve"> 25 )</t>
  </si>
  <si>
    <t xml:space="preserve"> 26 )</t>
  </si>
  <si>
    <t>Combien dois-je en prendre au maximun pour être certain d'en avoir 2 de la même couleur?</t>
  </si>
  <si>
    <t>Combien de mois ont 28 jours ?</t>
  </si>
  <si>
    <t>Pour moi, l'accouchement vient avant la grossesse, l'enfance avant la naissance, l'adolescence avant l'enfance, la mort avant la vie.</t>
  </si>
  <si>
    <t>Un(e) …</t>
  </si>
  <si>
    <t>On dit de l'eau "sec" ou "sèche" ?</t>
  </si>
  <si>
    <r>
      <t>Une voiture de Rallye prend un virage à 180 km/h.</t>
    </r>
    <r>
      <rPr>
        <b/>
        <i/>
        <sz val="11"/>
        <color theme="1"/>
        <rFont val="Calibri"/>
        <family val="2"/>
        <scheme val="minor"/>
      </rPr>
      <t/>
    </r>
  </si>
  <si>
    <t>Quel est leur âge respectif ?</t>
  </si>
  <si>
    <t xml:space="preserve">A   </t>
  </si>
  <si>
    <t xml:space="preserve">B   </t>
  </si>
  <si>
    <t>A, B et C sont trois jeunes frères. A a 7 ans de plus que B et C a 10 ans de moins que A. De plus, B est deux fois plus agé que C.</t>
  </si>
  <si>
    <t>Un chauffeur de taxis s'engage dans une ruelle en sens interdit, malgré la signalisation de celle-ci vue par ce premier.</t>
  </si>
  <si>
    <t>Il croise deux policiers dans leur voiture de fonction. Mais ces derniers ne font même pas attention au chauffeur.</t>
  </si>
  <si>
    <t xml:space="preserve"> 27 )</t>
  </si>
  <si>
    <t xml:space="preserve"> 28 )</t>
  </si>
  <si>
    <t>Qu'est-ce qui a 2 seins et 13 couilles ?</t>
  </si>
  <si>
    <t xml:space="preserve"> 29 )</t>
  </si>
  <si>
    <t>Comment mettre le Roi en échec ?  (1 Roi 'R' et 4 Tours 'T' )</t>
  </si>
  <si>
    <t xml:space="preserve"> 30 )</t>
  </si>
  <si>
    <t>Le père de Maryse à 5 filles : Chacha, Cheche, Chichi, Chocho …</t>
  </si>
  <si>
    <t>Qu'elle est la cinquième ?</t>
  </si>
  <si>
    <t xml:space="preserve"> 31 )</t>
  </si>
  <si>
    <t>Le père a les yeux marrons, la mère a les yeux verts.</t>
  </si>
  <si>
    <t>Quelle est la couleur des yeux du futur enfant ?</t>
  </si>
  <si>
    <r>
      <rPr>
        <b/>
        <i/>
        <u/>
        <sz val="11"/>
        <color theme="1"/>
        <rFont val="Calibri"/>
        <family val="2"/>
        <scheme val="minor"/>
      </rPr>
      <t>Dans combien de temps</t>
    </r>
    <r>
      <rPr>
        <b/>
        <i/>
        <sz val="11"/>
        <color theme="1"/>
        <rFont val="Calibri"/>
        <family val="2"/>
        <scheme val="minor"/>
      </rPr>
      <t xml:space="preserve"> va-t-il recouvrir la superficie de l'étang ?</t>
    </r>
  </si>
  <si>
    <t xml:space="preserve"> 32 ) </t>
  </si>
  <si>
    <t>Je commence par "e" et je termine par "e" et ne contient qu'une lettre.</t>
  </si>
  <si>
    <t>Le Nombre Mystère</t>
  </si>
  <si>
    <t>Votre Nombre ==&gt;</t>
  </si>
  <si>
    <t>TOTAL</t>
  </si>
  <si>
    <t>DM</t>
  </si>
  <si>
    <t>M</t>
  </si>
  <si>
    <t>C</t>
  </si>
  <si>
    <t>D</t>
  </si>
  <si>
    <t>U</t>
  </si>
  <si>
    <t>Nombre +1 =====&gt;</t>
  </si>
  <si>
    <t>Nombre +2 =====&gt;</t>
  </si>
  <si>
    <t>Nombre +3 =====&gt;</t>
  </si>
  <si>
    <t>Nombre +4 =====&gt;</t>
  </si>
  <si>
    <t>Nombre +5 =====&gt;</t>
  </si>
  <si>
    <t>Nombre +6 =====&gt;</t>
  </si>
  <si>
    <t>Nombre +7 =====&gt;</t>
  </si>
  <si>
    <t>Nombre +8 =====&gt;</t>
  </si>
  <si>
    <t xml:space="preserve"> - 6 cartes tirées d'un jeu, 1 seule choisie (par vous-même) et puis … disparue !</t>
  </si>
  <si>
    <t>Comment retrouver le nombre qui a été mis au cube (x³) à partir de son résultat ?</t>
  </si>
  <si>
    <t>Comment calculer le carré d'un nombre ?</t>
  </si>
  <si>
    <t>x³</t>
  </si>
  <si>
    <t>plafond</t>
  </si>
  <si>
    <t>seuil</t>
  </si>
  <si>
    <r>
      <t xml:space="preserve">nbr /               </t>
    </r>
    <r>
      <rPr>
        <b/>
        <sz val="11"/>
        <color rgb="FF0070C0"/>
        <rFont val="Calibri"/>
        <family val="2"/>
        <scheme val="minor"/>
      </rPr>
      <t>unité x³</t>
    </r>
  </si>
  <si>
    <t>chiffre dpt</t>
  </si>
  <si>
    <t>unité x³</t>
  </si>
  <si>
    <t>nbr base</t>
  </si>
  <si>
    <t>Votre nombre</t>
  </si>
  <si>
    <t>Ne pas en tenir compte</t>
  </si>
  <si>
    <t>CD</t>
  </si>
  <si>
    <t>MMM</t>
  </si>
  <si>
    <t>x²</t>
  </si>
  <si>
    <t>Unité</t>
  </si>
  <si>
    <t>Cents/Dizaines</t>
  </si>
  <si>
    <t>Milliers</t>
  </si>
  <si>
    <t>Pour tout le reste, on peut faire le nombre choisi * 10 - 1 fois le nombre choisi.</t>
  </si>
  <si>
    <t>On saisit de bas en haut les 10 chiffres ( de 0 à 9 ) puis on se décale d'une unité et on remonte en saissisant les même chiffres, TOUT SIMPLEMENT !</t>
  </si>
  <si>
    <t>TABLE DE 9</t>
  </si>
  <si>
    <t xml:space="preserve"> &gt; On corrige les résultats par de nouvelles additions le cas échéant</t>
  </si>
  <si>
    <t xml:space="preserve"> &gt; On additionne les chiffres</t>
  </si>
  <si>
    <t>Votre nombre &gt;&gt;&gt;&gt;&gt;&gt;&gt;</t>
  </si>
  <si>
    <t>Dizaine</t>
  </si>
  <si>
    <t>Centaine</t>
  </si>
  <si>
    <t>La règle générale est d'espacer le nombre choisi (nombre qui doit etre multiplié par 11) et d'y insérer l'addition des chiffres du nombre qui le compose.
Le technique diffère un peu dès lors qu'on réalise le calcul avec un nombre à centaine ou plus !
ATTENTION en cas de retenue, il faut penser à la répercuter sur le chiffre de gauche.</t>
  </si>
  <si>
    <t>TABLE DE 11</t>
  </si>
  <si>
    <t xml:space="preserve"> - Choississez un nombre entre 1 et 63, je le devine à chaque fois !!</t>
  </si>
  <si>
    <r>
      <t>Cliquez sur l'onglet                                      puis sur                                             , une fenêtre</t>
    </r>
    <r>
      <rPr>
        <b/>
        <i/>
        <sz val="11"/>
        <color rgb="FF002060"/>
        <rFont val="Calibri"/>
        <family val="2"/>
        <scheme val="minor"/>
      </rPr>
      <t xml:space="preserve"> "Centre de gestion de la confidentialité"</t>
    </r>
    <r>
      <rPr>
        <sz val="11"/>
        <color rgb="FF002060"/>
        <rFont val="Calibri"/>
        <family val="2"/>
        <scheme val="minor"/>
      </rPr>
      <t xml:space="preserve"> s'ouvre. </t>
    </r>
    <r>
      <rPr>
        <b/>
        <i/>
        <sz val="11"/>
        <color rgb="FF002060"/>
        <rFont val="Calibri"/>
        <family val="2"/>
        <scheme val="minor"/>
      </rPr>
      <t>Paramètres des macros</t>
    </r>
    <r>
      <rPr>
        <sz val="11"/>
        <color rgb="FF002060"/>
        <rFont val="Calibri"/>
        <family val="2"/>
        <scheme val="minor"/>
      </rPr>
      <t xml:space="preserve"> est déjà préselectionné. 
Dans la première partie du même nom, cochez                                                                                                                                                                                         et validez par                
Vous pouvez maintenant profiter au complet des fonctionnalités du fichier Excel.
                                        </t>
    </r>
    <r>
      <rPr>
        <b/>
        <sz val="14"/>
        <color rgb="FF008000"/>
        <rFont val="Calibri"/>
        <family val="2"/>
        <scheme val="minor"/>
      </rPr>
      <t>Félicitations !!</t>
    </r>
  </si>
  <si>
    <t>Formulaire de Contact</t>
  </si>
  <si>
    <t>Le Calendrier</t>
  </si>
  <si>
    <t>Sagittaire</t>
  </si>
  <si>
    <t>Lion</t>
  </si>
  <si>
    <t>Bélier</t>
  </si>
  <si>
    <t>Taureau</t>
  </si>
  <si>
    <t>Vierge</t>
  </si>
  <si>
    <t>Capricorne</t>
  </si>
  <si>
    <t>Gémeaux</t>
  </si>
  <si>
    <t>Balance</t>
  </si>
  <si>
    <t>Verseau</t>
  </si>
  <si>
    <t>Cancer</t>
  </si>
  <si>
    <t>Scorpion</t>
  </si>
  <si>
    <t>Poisson</t>
  </si>
  <si>
    <t>L</t>
  </si>
  <si>
    <t>J</t>
  </si>
  <si>
    <t>V</t>
  </si>
  <si>
    <t>S</t>
  </si>
  <si>
    <t xml:space="preserve"> - Même un simple calendrier permet de réaliser un tour de magie (tour de calcul)!</t>
  </si>
  <si>
    <t>Chiffre</t>
  </si>
  <si>
    <t>Exemple:</t>
  </si>
  <si>
    <t>Suites Logiques</t>
  </si>
  <si>
    <t>F</t>
  </si>
  <si>
    <t>T</t>
  </si>
  <si>
    <t>A</t>
  </si>
  <si>
    <t>B</t>
  </si>
  <si>
    <t>&amp;</t>
  </si>
  <si>
    <t>Allez un peu de maths, continuez ces suites logiques …</t>
  </si>
  <si>
    <t>Encore des maths, complétez ce tableau. Utilisez les chiffres de 1 à 9. Le résultat par ligne/colonne est le même, 2 solutions possibles. A vous de jouez !</t>
  </si>
  <si>
    <t>1)</t>
  </si>
  <si>
    <t>2)</t>
  </si>
  <si>
    <t>3)</t>
  </si>
  <si>
    <t>4)</t>
  </si>
  <si>
    <t>5)</t>
  </si>
  <si>
    <t>6)</t>
  </si>
  <si>
    <t>7)</t>
  </si>
  <si>
    <t>8)</t>
  </si>
  <si>
    <t>9)</t>
  </si>
  <si>
    <t xml:space="preserve">10) </t>
  </si>
  <si>
    <t>Voir le calcul :</t>
  </si>
  <si>
    <t xml:space="preserve">Une série de suites logiques. Serez vous capable de relever le défi ? </t>
  </si>
  <si>
    <t>Allez pour se mettre dans le bain, continuez ces suites logiques … Niveau TRES FACILE</t>
  </si>
  <si>
    <t xml:space="preserve"> 33 )</t>
  </si>
  <si>
    <t xml:space="preserve">Cettte même personne n'est pas sa sœur. </t>
  </si>
  <si>
    <t>Une vieille dame donne 50 euros à une personne dans la rue. La vieille dame est la sœur de la personne qui a reçu le billet.</t>
  </si>
  <si>
    <t>Qui est-elle ?</t>
  </si>
  <si>
    <t xml:space="preserve"> 34 )</t>
  </si>
  <si>
    <t>Je passe dans l'air, évite le feu, ne traverse jamais l'eau car je préfère le centre de la Terre.</t>
  </si>
  <si>
    <t xml:space="preserve"> 35 )</t>
  </si>
  <si>
    <t>Vincent joue aux cartes avec moi. Je suis l'époux de la fille unique de la grand-mère maternelle de sa sœur ?</t>
  </si>
  <si>
    <t xml:space="preserve"> 36 )</t>
  </si>
  <si>
    <t>J'ai une tête, mais je ne pense pas.</t>
  </si>
  <si>
    <t>J'ai des dents, mais je ne mords pas</t>
  </si>
  <si>
    <t xml:space="preserve"> 37 )</t>
  </si>
  <si>
    <t>Celui qui le fait, le vend.</t>
  </si>
  <si>
    <t>Bien généralement, celui qui l'achète ne s'en sert pas.</t>
  </si>
  <si>
    <t>Celui qui s'en sert ne le sais pas.</t>
  </si>
  <si>
    <t>sa / son …</t>
  </si>
  <si>
    <t xml:space="preserve">Quelle roue tourne la moins vite ?                                                                                   </t>
  </si>
  <si>
    <t>La roue de …</t>
  </si>
  <si>
    <t>Je plonge dans un trou, ne fait pas plus de 3 tours dans la main de mon possesseur, pour générer un mécanisme.</t>
  </si>
  <si>
    <t>±</t>
  </si>
  <si>
    <t>Je suis le général d'une armée de 26 soldats et sans moi Paris serait pris.</t>
  </si>
  <si>
    <t>Dans combien de temps atteindra-t-elle le tout premier barreau ?</t>
  </si>
  <si>
    <t xml:space="preserve">Vous avez 4 Tours à placer  (utilisez la lettre 'T'). Elles ne doivent pas pouvoir se croiser ! </t>
  </si>
  <si>
    <t>Mais, elles doivent être placées de la sorte à ce qu'elles empêchent le Roi ('R') de se déplacer peu importe où.</t>
  </si>
  <si>
    <t xml:space="preserve">C    </t>
  </si>
  <si>
    <r>
      <t>Pourquoi les policiers n'ont-ils pas verbalisé le chauffeur ?</t>
    </r>
    <r>
      <rPr>
        <i/>
        <sz val="11"/>
        <color theme="4" tint="-0.249977111117893"/>
        <rFont val="Calibri"/>
        <family val="2"/>
        <scheme val="minor"/>
      </rPr>
      <t xml:space="preserve">                                                                      Parce que le chauffeur …</t>
    </r>
  </si>
  <si>
    <r>
      <t xml:space="preserve">Quelle aiguille fait une fois le tour de la pendule en 12 heures ?                                                                                    </t>
    </r>
    <r>
      <rPr>
        <i/>
        <sz val="11"/>
        <color theme="4" tint="-0.249977111117893"/>
        <rFont val="Calibri"/>
        <family val="2"/>
        <scheme val="minor"/>
      </rPr>
      <t>Celle des …</t>
    </r>
  </si>
  <si>
    <r>
      <t xml:space="preserve">Où sont fabriqués les chapeaux 'Panama'?                                                                                                                 </t>
    </r>
    <r>
      <rPr>
        <b/>
        <i/>
        <sz val="11"/>
        <color theme="3" tint="0.39997558519241921"/>
        <rFont val="Calibri"/>
        <family val="2"/>
        <scheme val="minor"/>
      </rPr>
      <t xml:space="preserve">A / Au / En … </t>
    </r>
  </si>
  <si>
    <r>
      <t xml:space="preserve">Toujours des maths, un petit calul mental … et indiquez moi le résultat à la fin.                  </t>
    </r>
    <r>
      <rPr>
        <b/>
        <i/>
        <sz val="11"/>
        <color rgb="FF008000"/>
        <rFont val="Calibri"/>
        <family val="2"/>
        <scheme val="minor"/>
      </rPr>
      <t xml:space="preserve">  Pour commencer cliquez sur "Voir le calcul", puis sur les "+".</t>
    </r>
  </si>
  <si>
    <t>A placer dans le tableau</t>
  </si>
  <si>
    <r>
      <rPr>
        <b/>
        <sz val="11"/>
        <color theme="9" tint="-0.499984740745262"/>
        <rFont val="Calibri"/>
        <family val="2"/>
        <scheme val="minor"/>
      </rPr>
      <t>Choississez l'un des 7 calendriers à gauche, une fois sélectionné, il apparait ci-dessous. 
Vous pouvez supprimer un ou plusieurs jours selon la terminaison du mois que vous souhaitez</t>
    </r>
    <r>
      <rPr>
        <b/>
        <sz val="8"/>
        <color theme="9" tint="-0.499984740745262"/>
        <rFont val="Calibri"/>
        <family val="2"/>
        <scheme val="minor"/>
      </rPr>
      <t xml:space="preserve"> (28, 29, 30 ou 31 jours).
Certains calendriers seront d'office programmés à 29 ou 30 jours.</t>
    </r>
  </si>
  <si>
    <t>1*</t>
  </si>
  <si>
    <t>Révélations</t>
  </si>
  <si>
    <t>Comment t'appelles-tu ?</t>
  </si>
  <si>
    <t>Fini le temps du vouvoiement, avec ce questionnaire je te connaitrais mieux, c'est parti ...</t>
  </si>
  <si>
    <t>Ci-dessous, 20 questions plus ou moins personnelles. A toi d'y répondre avec le plus de sincérité.</t>
  </si>
  <si>
    <t>Pourquoi ?</t>
  </si>
  <si>
    <t>Tes révélations</t>
  </si>
  <si>
    <t>Voici réellement ce dont tu n'osais rien dire …</t>
  </si>
  <si>
    <t>Petit questionnaire pour faire mieux connaissance</t>
  </si>
  <si>
    <t>Tout fini par se savoir !!</t>
  </si>
  <si>
    <t>As-tu déjà embrassé quelqu'un ?</t>
  </si>
  <si>
    <t>Qui ?</t>
  </si>
  <si>
    <t>Combien de fois ?</t>
  </si>
  <si>
    <t>Où ?</t>
  </si>
  <si>
    <t>Cela t'as-t-il plus ?</t>
  </si>
  <si>
    <t>Comment est-il/elle devenu(e ) ?</t>
  </si>
  <si>
    <t>A quoi ressemblait-il/elle ?</t>
  </si>
  <si>
    <t>As-tu recommencé ?</t>
  </si>
  <si>
    <t>Avec qui ?</t>
  </si>
  <si>
    <t>As-tu fait quelque chose de mal ?</t>
  </si>
  <si>
    <t>Quand ?</t>
  </si>
  <si>
    <t>Sur quoi ?</t>
  </si>
  <si>
    <t>Que cela t'as-t-il donné ?</t>
  </si>
  <si>
    <t>Comment l'as-tu appelé ?</t>
  </si>
  <si>
    <t>Aimerais-tu recommencer ?</t>
  </si>
  <si>
    <t xml:space="preserve"> - Petit questionnaire histoire de faire mieux connaissance…</t>
  </si>
  <si>
    <r>
      <t xml:space="preserve">A l'ouverture du fichier Excel, les macros sont normalement et par défaut désactivées (par sécurité).
Pour les activer, cliquez sur la </t>
    </r>
    <r>
      <rPr>
        <i/>
        <sz val="11"/>
        <color rgb="FF002060"/>
        <rFont val="Calibri"/>
        <family val="2"/>
        <scheme val="minor"/>
      </rPr>
      <t>"fenêtre"</t>
    </r>
    <r>
      <rPr>
        <sz val="11"/>
        <color rgb="FF002060"/>
        <rFont val="Calibri"/>
        <family val="2"/>
        <scheme val="minor"/>
      </rPr>
      <t xml:space="preserve"> qui a du s'ouvrir sous le ruban
Si tel est le cas, alors cliquez sur                                     puis cochez                                             et terminez en cliquant sur          </t>
    </r>
  </si>
  <si>
    <t>Retour</t>
  </si>
  <si>
    <t xml:space="preserve"> 38 )</t>
  </si>
  <si>
    <t>Mais quelle heure est-il ?</t>
  </si>
  <si>
    <t>Ci-dessous 4 pendules; l'une affiche la bonne heure, mais les 3 autres sont respectivement en retard de 5 et 15 min et la dernière avance de 10 min</t>
  </si>
  <si>
    <t xml:space="preserve">Histoire de compliquer la tâche, certaines pendules sont à lire à l'envers !  </t>
  </si>
  <si>
    <t>Saurez-vous retrouvez l'heure ?</t>
  </si>
  <si>
    <t>Pendule 1</t>
  </si>
  <si>
    <t>Pendule 2</t>
  </si>
  <si>
    <t>Pendule 3</t>
  </si>
  <si>
    <t>Pendule 4</t>
  </si>
  <si>
    <t>Un riche père est sur le point de mourir.</t>
  </si>
  <si>
    <t xml:space="preserve">Il convoque sur son lit de mort ses 2 seuls fils. </t>
  </si>
  <si>
    <t>En présence du notaire, il dit : "Celui dont le cheval arrivera en dernier en haut de la colline sera le seul héritier qui jouiera de ma fortune."</t>
  </si>
  <si>
    <t>Pourquoi les 2 fils se précipitent-ils dans l'écurie afin de monter à cheval ?</t>
  </si>
  <si>
    <t xml:space="preserve"> 39 )</t>
  </si>
  <si>
    <t xml:space="preserve">Sachant que vous ne disposez que de 5 min devant vous et d'un seul aller, </t>
  </si>
  <si>
    <t>L'intérupteur se trouve au début du couloir qui emène à cette pièce et de là impossible de voir si la lumière est allumée ou éteinte.</t>
  </si>
  <si>
    <t xml:space="preserve"> &lt;&lt;&lt; si vous pensez avoir la bonne réponse indiquez "oui" dans la cellule</t>
  </si>
  <si>
    <t xml:space="preserve"> 40 )</t>
  </si>
  <si>
    <t>Comment allez-vous procéder ?</t>
  </si>
  <si>
    <t>Un fermier doit traverser une rive avec un chou, une chèvre et un loup.</t>
  </si>
  <si>
    <t>Il ne peut, par passage, n'en amener qu'un sur les 3</t>
  </si>
  <si>
    <t>Sachant qu'il ne faut jamais laisser le chou et la chèvre ensemble, ni la chèvre et le loup</t>
  </si>
  <si>
    <t xml:space="preserve">Sachant que vous ne disposez que de 7 traversées, </t>
  </si>
  <si>
    <t>Une pièce exigue, sans fenêtre n'est éclairée que par une seule ampoule. Sa porte est fermée.</t>
  </si>
  <si>
    <t>Ci-dessous 6 sacs en toile de jute.</t>
  </si>
  <si>
    <t>Comment pouvez vous définir quel est le sac qui contient les fausses pièces.</t>
  </si>
  <si>
    <t>Il n'y a aucune possibilité de faire la différence visuellement ni par "la pesée à la main"</t>
  </si>
  <si>
    <t>A vous de trouvez la règle générale qui se vérifie aux 6 possibilités</t>
  </si>
  <si>
    <t xml:space="preserve">Pour vous aider : </t>
  </si>
  <si>
    <t>1 vraie pièce pèse 1 gramme</t>
  </si>
  <si>
    <t>1 fausse pièce pèse 0,50 gramme</t>
  </si>
  <si>
    <t>La Bonne Pesée</t>
  </si>
  <si>
    <t>Pesée de Référence</t>
  </si>
  <si>
    <t>Les sacs sont de tailles différentes et sont remplies d'une quantité de pièces différentes, indéterminée et indéterminable à l'œil nu.  (au minimun 10p)</t>
  </si>
  <si>
    <t>SAC 1</t>
  </si>
  <si>
    <t>SAC 2</t>
  </si>
  <si>
    <t>SAC 3</t>
  </si>
  <si>
    <t>SAC 4</t>
  </si>
  <si>
    <t>SAC 5</t>
  </si>
  <si>
    <t>SAC 6</t>
  </si>
  <si>
    <t>Nbr de pièces</t>
  </si>
  <si>
    <t>Il était une fois…</t>
  </si>
  <si>
    <t>Toujours devant ce frigo, vous vous lancer le défi d'y mettre une girafe.</t>
  </si>
  <si>
    <t>Un avion qui décolle de l'aéroport de Nantes. A son bord, 9 membres du personnel, pilotes inclus et non loin de 600 passagers.</t>
  </si>
  <si>
    <t>Et bien oui !  C'est son anniversaire et tous les animaux de la Terre sont invités pour cette superbe "party" qui va durer des jours !!</t>
  </si>
  <si>
    <t>… Mais la grand-mère meurt quand même … snif' :'-( !</t>
  </si>
  <si>
    <t>RECOMMENCER</t>
  </si>
  <si>
    <t>Avec un peu d'imagination, vous avez devant vous un immense frigo.</t>
  </si>
  <si>
    <t>Savez-vous quel jour sommes-nous ?  Non ? ! .... Comment cela ?! C'est l'anniversaire du roi des animaux ?!</t>
  </si>
  <si>
    <r>
      <rPr>
        <b/>
        <i/>
        <u/>
        <sz val="14"/>
        <color rgb="FFFF0000"/>
        <rFont val="Calibri"/>
        <family val="2"/>
        <scheme val="minor"/>
      </rPr>
      <t xml:space="preserve">Avec une seule pesée, </t>
    </r>
    <r>
      <rPr>
        <i/>
        <sz val="11"/>
        <color rgb="FFC00000"/>
        <rFont val="Calibri"/>
        <family val="2"/>
        <scheme val="minor"/>
      </rPr>
      <t>en prenant autant de pièces que vous le souhaitez dans chacun des sacs</t>
    </r>
  </si>
  <si>
    <t>Retenir le dernier "seuil" passé selon la colonne x³.</t>
  </si>
  <si>
    <t>Retenir le nbr dans la colonne x³ dont l'unité est identique.</t>
  </si>
  <si>
    <t>│</t>
  </si>
  <si>
    <t>↓</t>
  </si>
  <si>
    <t>Comment connaitre lequel de ces 3 interrupteurs permet d'allumer la pièce située au bout du couloir ?</t>
  </si>
  <si>
    <t>Au début de ce couloir se trouve 3 intérupteurs dont l'un permet d'éclairer cette fameuse pièce.</t>
  </si>
  <si>
    <t>Afficher la page sur le menu principal ?</t>
  </si>
  <si>
    <t xml:space="preserve">                 Pour connaitre votre thème astral gratuitement, complétez le formulaire ci-dessous !</t>
  </si>
  <si>
    <t xml:space="preserve"> </t>
  </si>
  <si>
    <t>Sommaire BONUS</t>
  </si>
  <si>
    <t>Calculette</t>
  </si>
  <si>
    <t>Super BONUS débloqué !!!</t>
  </si>
  <si>
    <t>J'ai réussi le défi ….</t>
  </si>
  <si>
    <t>Retrouver les 2 chiffres (0 à 9) qui  ont été mis au cube</t>
  </si>
  <si>
    <t>(dizaine)</t>
  </si>
  <si>
    <t>(unité)</t>
  </si>
  <si>
    <t>Sébastien EVAIN
France - Pays de la Loire (44)</t>
  </si>
  <si>
    <t>Poissons</t>
  </si>
  <si>
    <t>AJD</t>
  </si>
  <si>
    <t>Le fichier est hébergé via le site :</t>
  </si>
  <si>
    <t>Suivez-moi</t>
  </si>
  <si>
    <t>Les Signes Astrologiques</t>
  </si>
  <si>
    <t>Années</t>
  </si>
  <si>
    <t>Signes</t>
  </si>
  <si>
    <t>Elements</t>
  </si>
  <si>
    <t>Rat</t>
  </si>
  <si>
    <t>Bœuf</t>
  </si>
  <si>
    <t>Tigre</t>
  </si>
  <si>
    <t>Lièvre</t>
  </si>
  <si>
    <t>Dragon</t>
  </si>
  <si>
    <t>Serpent</t>
  </si>
  <si>
    <t>Cheval</t>
  </si>
  <si>
    <t>Chèvre</t>
  </si>
  <si>
    <t>Singe</t>
  </si>
  <si>
    <t>Coq</t>
  </si>
  <si>
    <t>Chien</t>
  </si>
  <si>
    <t>Cochon</t>
  </si>
  <si>
    <t>Métal</t>
  </si>
  <si>
    <t>Eau</t>
  </si>
  <si>
    <t>Bois</t>
  </si>
  <si>
    <t>Feu</t>
  </si>
  <si>
    <t>Terre</t>
  </si>
  <si>
    <t>Les Signes Astrologiques Chinois</t>
  </si>
  <si>
    <r>
      <rPr>
        <b/>
        <sz val="26"/>
        <color theme="0"/>
        <rFont val="Calibri"/>
        <family val="2"/>
        <scheme val="minor"/>
      </rPr>
      <t>SOMMAIRE</t>
    </r>
    <r>
      <rPr>
        <b/>
        <sz val="22"/>
        <color theme="0"/>
        <rFont val="Calibri"/>
        <family val="2"/>
        <scheme val="minor"/>
      </rPr>
      <t xml:space="preserve">
</t>
    </r>
    <r>
      <rPr>
        <b/>
        <sz val="18"/>
        <color theme="0"/>
        <rFont val="Calibri"/>
        <family val="2"/>
        <scheme val="minor"/>
      </rPr>
      <t xml:space="preserve">Tour du monde des Signes Astrologiques </t>
    </r>
  </si>
  <si>
    <t>signes chinois</t>
  </si>
  <si>
    <t>Amon-Râ</t>
  </si>
  <si>
    <t>Anubis</t>
  </si>
  <si>
    <t>Bastet</t>
  </si>
  <si>
    <t>Geb</t>
  </si>
  <si>
    <t>Horus</t>
  </si>
  <si>
    <t>Isis</t>
  </si>
  <si>
    <t>Le Nil</t>
  </si>
  <si>
    <t>Mout</t>
  </si>
  <si>
    <t>Osiris</t>
  </si>
  <si>
    <t>Sekhmet</t>
  </si>
  <si>
    <t>Seth</t>
  </si>
  <si>
    <t>Thot</t>
  </si>
  <si>
    <t>du 8 Janvier au 21 Janvier</t>
  </si>
  <si>
    <t>du 1 Février au 11 Février</t>
  </si>
  <si>
    <t>du 9 Mai au 27 Mai</t>
  </si>
  <si>
    <t>du 29 Juin au 13 Juillet</t>
  </si>
  <si>
    <t>du 14 Juillet au 28 Juillet</t>
  </si>
  <si>
    <t>du 23 Septembre au 27 Septembre</t>
  </si>
  <si>
    <t>du 3 Octobre au 17 Octobre</t>
  </si>
  <si>
    <t>du 12 Février au 29 Février</t>
  </si>
  <si>
    <t>du 20 Aout au 31 Aout</t>
  </si>
  <si>
    <t>du 20 Avril au 8 Mai</t>
  </si>
  <si>
    <t>du 12 Aout au 19 Aout</t>
  </si>
  <si>
    <t>du 11 Mars au 31 Mars</t>
  </si>
  <si>
    <t>du 18 Octobre au 29 Octobre</t>
  </si>
  <si>
    <t>du 19 Décembre au 31 Décembre</t>
  </si>
  <si>
    <t>du 1 Janvier au 7 Janvier</t>
  </si>
  <si>
    <t>du 19 Juin au 28 Juin</t>
  </si>
  <si>
    <t>du 1 Septembre au 7 Septembre</t>
  </si>
  <si>
    <t>du 18 Novembre au 26 Novembre</t>
  </si>
  <si>
    <t>du 22 Janvier au 31 Janvier</t>
  </si>
  <si>
    <t>du 8 Septembre au 22 Septembre</t>
  </si>
  <si>
    <t>du 1 Mars au 10 Mars</t>
  </si>
  <si>
    <t>du 27 Novembre au 18 Décembre</t>
  </si>
  <si>
    <t>du 29 Juillet au 11 Aout</t>
  </si>
  <si>
    <t>du 30 Octobre au 7 Novembre</t>
  </si>
  <si>
    <t>du 28 Mai au 18 Juin</t>
  </si>
  <si>
    <t>du 28 Septembre au 2 Octobre</t>
  </si>
  <si>
    <t>du 1 Avril au 19 Avril</t>
  </si>
  <si>
    <t>du 8 Novembre au 17 Novembre</t>
  </si>
  <si>
    <t>du 21 Mars au 19 Avril</t>
  </si>
  <si>
    <t>du 20 Avril au 21 Mai</t>
  </si>
  <si>
    <t>du 22 Mai au 21 Juin</t>
  </si>
  <si>
    <t>du 22 Juin au 22 Juillet</t>
  </si>
  <si>
    <t>du 23 Juillet au 22 Aout</t>
  </si>
  <si>
    <t>du 23 Aout au 22 Septembre</t>
  </si>
  <si>
    <t>du 23 Septembre au 22 Octobre</t>
  </si>
  <si>
    <t>du 23 Octobre au 22 Novembre</t>
  </si>
  <si>
    <t>du 23 Novembre au 21 Décembre</t>
  </si>
  <si>
    <t>du 22 Décembre au 19 Janvier</t>
  </si>
  <si>
    <t>du 20 Janvier au 19 Février</t>
  </si>
  <si>
    <t>du 20 Février au 20 Mars</t>
  </si>
  <si>
    <t>Elements CHINOIS</t>
  </si>
  <si>
    <t>Signes_ZODIAC</t>
  </si>
  <si>
    <t>Signes_CHINOIS</t>
  </si>
  <si>
    <t>Signes_EGYPTIEN</t>
  </si>
  <si>
    <t>Le_Nil</t>
  </si>
  <si>
    <t>x</t>
  </si>
  <si>
    <t>Amon_Râ</t>
  </si>
  <si>
    <t>Mon signe zodiacal vous donnera un indice sur mon mois de naissance</t>
  </si>
  <si>
    <t>Mon signe chinois vous donnera un indice sur mon année de naissance</t>
  </si>
  <si>
    <t>Mon signe égyptien vous donnera un indice sur une période de jours</t>
  </si>
  <si>
    <t xml:space="preserve">                 Pour connaitre votre signe chinois gratuitement, complétez le formulaire ci-dessous !</t>
  </si>
  <si>
    <t>ANNIVERSAIRE</t>
  </si>
  <si>
    <t xml:space="preserve">                   Pour en connaitre d'avantage sur votre signe égyptien, selectionner votre signe !</t>
  </si>
  <si>
    <t>Toth</t>
  </si>
  <si>
    <t>Les Signes Astrologiques Egyptiens</t>
  </si>
  <si>
    <t xml:space="preserve"> - Si vous souhaitez faire travailler vos cellules grises plutôt que vos doigts …!</t>
  </si>
  <si>
    <t xml:space="preserve"> - Des illusions en tout genre ! Que voyez vous ? Mais surtout, en êtes-vous sûr ?</t>
  </si>
  <si>
    <t>Ouverture Facile</t>
  </si>
  <si>
    <t xml:space="preserve"> - C'est LE site d'énigmes sur internet que je vous recommande !</t>
  </si>
  <si>
    <t xml:space="preserve">                       Niveau 1                                                       Niveau 2                                                       Niveau 3                         
                Indice / Réponse                                       Indice / Réponse                                      Indice / Réponse                                                       </t>
  </si>
  <si>
    <r>
      <t xml:space="preserve">C'est LE site d'énigmes sur Internet que je vous recommande !!
J'ai découvert ce site il y a maintenant quelques années en vadrouillant sur la toile.
Je m'y suis remis aujourd'hui (17/1/16), et cela m'a donné envie de vous le faire (re)découvrir…
Il faut avoir beaucoup de logique et surtout ne pas rester concentré que sur ce que l'on a devant soi !
Il faut voir grand... étendre son champ de vision/réflexion à toute la fenêtre internet !
Mais j'en reste là pour pas trop en dévoiler...
Vous avez non loin de 100 niveaux avec une difficulté croissante !
Et, toute une communauté sur un forum pour échanger, Pratique en cas de coup dur !
Retenez une chose, Google est votre ami  ;-)
Je vous laisse là, 
Pour commencer l'Aventure… cliquez sur l'image ci dessous  &amp; BON COURAGE !!
                                                                                                                                                                                         </t>
    </r>
    <r>
      <rPr>
        <b/>
        <i/>
        <sz val="11"/>
        <color theme="3" tint="-0.249977111117893"/>
        <rFont val="Calibri"/>
        <family val="2"/>
        <scheme val="minor"/>
      </rPr>
      <t xml:space="preserve">   Sébastien
</t>
    </r>
    <r>
      <rPr>
        <i/>
        <u/>
        <sz val="11"/>
        <color theme="3" tint="-0.249977111117893"/>
        <rFont val="Calibri"/>
        <family val="2"/>
        <scheme val="minor"/>
      </rPr>
      <t>Indices &amp; Soluces pour les 3 premiers niveaux</t>
    </r>
  </si>
  <si>
    <t>Devinez chacun de mes signes astrologiques à l'aide des jeux (ou tentez votre chance hazardeuse) &amp; Retrouvez ma date de naissance !</t>
  </si>
  <si>
    <t>Combien comptez-vous de carrés ?</t>
  </si>
  <si>
    <t>Combien comptez-vous de triangles ?</t>
  </si>
  <si>
    <t>Combien de triangles sont dessinés ?</t>
  </si>
  <si>
    <t>De quelle couleur sont les intersections ?</t>
  </si>
  <si>
    <t>Le gris est plus foncé à droite ou à gauche ?</t>
  </si>
  <si>
    <t xml:space="preserve"> 41 )</t>
  </si>
  <si>
    <t>En reprenant les réponses des questions 18), 32) et 34) - Déchiffrer l'énigme…</t>
  </si>
  <si>
    <t>Astuces &amp; Aides aux Calculs Mentaux</t>
  </si>
  <si>
    <r>
      <t xml:space="preserve">                </t>
    </r>
    <r>
      <rPr>
        <b/>
        <sz val="20"/>
        <color theme="0"/>
        <rFont val="Calibri"/>
        <family val="2"/>
        <scheme val="minor"/>
      </rPr>
      <t>Mentions Légales            &amp;          Paramètres</t>
    </r>
  </si>
  <si>
    <r>
      <t xml:space="preserve">Serez vous capable de relever le défi de </t>
    </r>
    <r>
      <rPr>
        <b/>
        <i/>
        <sz val="14"/>
        <color rgb="FF002060"/>
        <rFont val="Calibri"/>
        <family val="2"/>
        <scheme val="minor"/>
      </rPr>
      <t>THE MAZE</t>
    </r>
    <r>
      <rPr>
        <b/>
        <i/>
        <sz val="12"/>
        <color rgb="FFFF0066"/>
        <rFont val="Calibri"/>
        <family val="2"/>
        <scheme val="minor"/>
      </rPr>
      <t xml:space="preserve"> ?
5 Niveaux de difficultés qui se suivent, surtout vous devez être très agile avec votre souris… A la fin du niveau 3, un indice sonore vous aidera pour le 4ème niveau, alors montez le son !!
Mais attention, votre pointeur ne doit pas toucher les bords !!! Sinon c'est retour à la case départ ! 
Si vous estimez être prêt, alors cliquez sur PLAY !    </t>
    </r>
    <r>
      <rPr>
        <b/>
        <i/>
        <sz val="14"/>
        <color rgb="FF008000"/>
        <rFont val="Calibri"/>
        <family val="2"/>
        <scheme val="minor"/>
      </rPr>
      <t>Bonne chance ;-)</t>
    </r>
  </si>
  <si>
    <t>Les Illusions</t>
  </si>
  <si>
    <t xml:space="preserve">Ci-dessous des illusions qui ont fait le tour du web. Saurez-vous les résoudre ?? A vous de jouer ! </t>
  </si>
  <si>
    <t>saisir votre réponse ICI</t>
  </si>
  <si>
    <t>Lequel d'entre A et B est le plus foncé ?</t>
  </si>
  <si>
    <t>Lequel d'entre A et B est le plus grand ?</t>
  </si>
  <si>
    <t>Le rond noir est plus grand à gauche ou à droite ?</t>
  </si>
  <si>
    <t>Que voyez vous ?</t>
  </si>
  <si>
    <t>saisir votre réponse 1 ICI</t>
  </si>
  <si>
    <t>saisir votre réponse 2 ICI</t>
  </si>
  <si>
    <t>Quelle barre de couleur est dans la continuité de la barre noire ?</t>
  </si>
  <si>
    <t>Les barres jaunes est la plus grande ?</t>
  </si>
  <si>
    <t>saisir votre réponse 3 ICI</t>
  </si>
  <si>
    <t>Qu'est-ce qui se dessine ?</t>
  </si>
  <si>
    <t>Illusions d'Optiques</t>
  </si>
  <si>
    <t>Décripter le message</t>
  </si>
  <si>
    <t>Nécessite une imprimante (CRLT + P pour imprimer)</t>
  </si>
  <si>
    <t>Autres téléchargements disponibles</t>
  </si>
  <si>
    <t xml:space="preserve">Mes autres téléchargements en ligne sur Excel-pratique  </t>
  </si>
  <si>
    <t xml:space="preserve">
Le sité est géré par Sébastien Mathier</t>
  </si>
  <si>
    <t>Remerciements à Sébastien Mathier pour son site internet. Une vraie source d'informations en tout genre. Un forum où votre problème est vite résolu. Pour les experts &amp; les débutants, pratiquant ou non le 'vba'. Toute une communauté de mordu d'Excel est là! Partageant informations, astuces et même fichiers divers et variés.</t>
  </si>
  <si>
    <t xml:space="preserve">                    </t>
  </si>
  <si>
    <r>
      <t xml:space="preserve">     Découvrez les jeux et toutes les autres 'applications' à télécharger sur </t>
    </r>
    <r>
      <rPr>
        <b/>
        <i/>
        <u/>
        <sz val="18"/>
        <color theme="0"/>
        <rFont val="Calibri"/>
        <family val="2"/>
        <scheme val="minor"/>
      </rPr>
      <t>excel-pratique.com</t>
    </r>
    <r>
      <rPr>
        <b/>
        <i/>
        <sz val="18"/>
        <color theme="0"/>
        <rFont val="Calibri"/>
        <family val="2"/>
        <scheme val="minor"/>
      </rPr>
      <t xml:space="preserve">
</t>
    </r>
    <r>
      <rPr>
        <b/>
        <i/>
        <sz val="11"/>
        <color theme="0"/>
        <rFont val="Calibri"/>
        <family val="2"/>
        <scheme val="minor"/>
      </rPr>
      <t xml:space="preserve">Vous pouvez également proposer vos propres fichiers et les mettre en ligne sur le site </t>
    </r>
    <r>
      <rPr>
        <b/>
        <i/>
        <sz val="8"/>
        <color theme="0"/>
        <rFont val="Calibri"/>
        <family val="2"/>
        <scheme val="minor"/>
      </rPr>
      <t>(soumis à validation par Sébastien Mathier)</t>
    </r>
  </si>
  <si>
    <t>ok</t>
  </si>
  <si>
    <t>L'activation des macros est nécesssaire pour profiter des fonctionnalités du fichier Excel</t>
  </si>
  <si>
    <t>L'activation des macros</t>
  </si>
  <si>
    <t>eclatement</t>
  </si>
  <si>
    <t>constat multipl</t>
  </si>
  <si>
    <t>L'Addition magique !</t>
  </si>
  <si>
    <r>
      <t xml:space="preserve">Merci de l'intérêt que vous portez à mon travail.
J'espère que ce fichier vous distrait et que vous vous amusez en l'utilisant !
N'oubliez pas de le partager, faites-le circuler !! Vous pouvez faire suivre le lien web à votre famille, amis, collègues par mail          </t>
    </r>
    <r>
      <rPr>
        <b/>
        <u/>
        <sz val="8"/>
        <color theme="3" tint="-0.249977111117893"/>
        <rFont val="Kristen ITC"/>
        <family val="4"/>
      </rPr>
      <t>(lien vers le site)</t>
    </r>
    <r>
      <rPr>
        <b/>
        <sz val="11"/>
        <color theme="3" tint="-0.249977111117893"/>
        <rFont val="Kristen ITC"/>
        <family val="4"/>
      </rPr>
      <t xml:space="preserve">
Si vous rencontrez des problèmes de fonctionnalités, des erreurs quelqu'elles soient, merci d'utiliser le bouton de contact suivant :
Précisez dans l'objet également le(s) jeu(x) en question qui vous pose(nt) problème ou qui ne fonctionne(nt) pas correctement...
Dans tous les autres cas, si vous avez des questions, que vous souhaitez échanger, donner votre opinion, des idées sur de nouveaux jeux etc…  Utilisez le bouton de contact suivant :
C'est à vous !
</t>
    </r>
  </si>
  <si>
    <t>ANNEE</t>
  </si>
  <si>
    <t>SI ANNI</t>
  </si>
  <si>
    <t>SI NON ANNIV</t>
  </si>
  <si>
    <t xml:space="preserve"> ==&gt; Réalisez le tour en se basant sur les informations communiquées dans les paramètres ?</t>
  </si>
  <si>
    <t>► Contactez-moi ◄</t>
  </si>
  <si>
    <t xml:space="preserve">Ce fichier excel reprenant plusieurs jeux (*) a été créé en 2014. Il est géré par : 
</t>
  </si>
  <si>
    <t>(*) interactifs ou assimilés, plus ou moins connus dont certains ont été créés de toutes pièces. Inspiré de mon fichier d'aides aux calculs (de 2010), remanié depuis.</t>
  </si>
  <si>
    <t>signes du zodiaques</t>
  </si>
  <si>
    <t>réelle</t>
  </si>
  <si>
    <t>en Année N</t>
  </si>
  <si>
    <t>DDN (date de naissance)</t>
  </si>
  <si>
    <t>(&lt;indique si Jour J = Anniversaire)</t>
  </si>
  <si>
    <t>Sommaire Principal</t>
  </si>
  <si>
    <t xml:space="preserve"> - Parmis 3 thèmes, choississez un signe astrologique, je le devine à chaque fois !!</t>
  </si>
  <si>
    <t xml:space="preserve">     Comment retrouver le nombre qui a été mis au cube (x³) à partir de son résultat ?</t>
  </si>
  <si>
    <t xml:space="preserve">                lien de telechargement : </t>
  </si>
  <si>
    <t>http://www.excel-pratique.com/fr/telechargements/jeux/magie-interactive-et-jeux-divers-no174.php</t>
  </si>
  <si>
    <t>http://www.excel-pratique.com/fr/telechargements/download.php?id=174</t>
  </si>
  <si>
    <t>signes égyptiens</t>
  </si>
  <si>
    <t>Année de Ref</t>
  </si>
  <si>
    <t>Années Supp</t>
  </si>
  <si>
    <t>soit en nbr de jr</t>
  </si>
  <si>
    <r>
      <t>Si vous ne voyez pas de</t>
    </r>
    <r>
      <rPr>
        <i/>
        <sz val="11"/>
        <color rgb="FF002060"/>
        <rFont val="Calibri"/>
        <family val="2"/>
        <scheme val="minor"/>
      </rPr>
      <t xml:space="preserve"> "fenêtre",</t>
    </r>
    <r>
      <rPr>
        <sz val="11"/>
        <color rgb="FF002060"/>
        <rFont val="Calibri"/>
        <family val="2"/>
        <scheme val="minor"/>
      </rPr>
      <t xml:space="preserve"> alors nous allons procéder à leur activation manuelle, pour cela avez-vous l'onglet                                    dans le ruban ? </t>
    </r>
    <r>
      <rPr>
        <i/>
        <sz val="8"/>
        <color rgb="FF002060"/>
        <rFont val="Calibri"/>
        <family val="2"/>
        <scheme val="minor"/>
      </rPr>
      <t>(nécessite de quitter le plein écran / double clic sur la barre des "taches")</t>
    </r>
    <r>
      <rPr>
        <sz val="11"/>
        <color rgb="FF002060"/>
        <rFont val="Calibri"/>
        <family val="2"/>
        <scheme val="minor"/>
      </rPr>
      <t xml:space="preserve">
Pour l'ajouter, cliquez sur                 </t>
    </r>
    <r>
      <rPr>
        <i/>
        <sz val="11"/>
        <color rgb="FF002060"/>
        <rFont val="Calibri"/>
        <family val="2"/>
        <scheme val="minor"/>
      </rPr>
      <t>(dans le coin en haut à gauche)</t>
    </r>
    <r>
      <rPr>
        <sz val="11"/>
        <color rgb="FF002060"/>
        <rFont val="Calibri"/>
        <family val="2"/>
        <scheme val="minor"/>
      </rPr>
      <t xml:space="preserve">  puis                                       </t>
    </r>
    <r>
      <rPr>
        <i/>
        <sz val="11"/>
        <color rgb="FF002060"/>
        <rFont val="Calibri"/>
        <family val="2"/>
        <scheme val="minor"/>
      </rPr>
      <t xml:space="preserve"> (en bas de la fenêtre qui vient de s'ouvrir). </t>
    </r>
    <r>
      <rPr>
        <sz val="11"/>
        <color rgb="FF002060"/>
        <rFont val="Calibri"/>
        <family val="2"/>
        <scheme val="minor"/>
      </rPr>
      <t xml:space="preserve">Une nouvelle fenêtre s'ouvre, </t>
    </r>
    <r>
      <rPr>
        <b/>
        <i/>
        <sz val="11"/>
        <color rgb="FF002060"/>
        <rFont val="Calibri"/>
        <family val="2"/>
        <scheme val="minor"/>
      </rPr>
      <t>Standard</t>
    </r>
    <r>
      <rPr>
        <sz val="11"/>
        <color rgb="FF002060"/>
        <rFont val="Calibri"/>
        <family val="2"/>
        <scheme val="minor"/>
      </rPr>
      <t xml:space="preserve"> est déjà préselectionné. 
Dans la première partie </t>
    </r>
    <r>
      <rPr>
        <b/>
        <i/>
        <sz val="11"/>
        <color rgb="FF002060"/>
        <rFont val="Calibri"/>
        <family val="2"/>
        <scheme val="minor"/>
      </rPr>
      <t>"Meilleures options pour travailler avec Excel"</t>
    </r>
    <r>
      <rPr>
        <sz val="11"/>
        <color rgb="FF002060"/>
        <rFont val="Calibri"/>
        <family val="2"/>
        <scheme val="minor"/>
      </rPr>
      <t xml:space="preserve">, cochez  </t>
    </r>
    <r>
      <rPr>
        <i/>
        <sz val="11"/>
        <color rgb="FF002060"/>
        <rFont val="Calibri"/>
        <family val="2"/>
        <scheme val="minor"/>
      </rPr>
      <t xml:space="preserve">      </t>
    </r>
    <r>
      <rPr>
        <sz val="11"/>
        <color rgb="FF002060"/>
        <rFont val="Calibri"/>
        <family val="2"/>
        <scheme val="minor"/>
      </rPr>
      <t xml:space="preserve">                                                                                    validez par                             
Et voilà, l'onglet                                      apparait dans le ruban !
</t>
    </r>
  </si>
  <si>
    <t xml:space="preserve">Une grand-mère en retraite fait un safari. Un peu déçue de ce qu'elle a pu voir jusqu'à présent, elle décide de se diriger vers la 'mare </t>
  </si>
  <si>
    <t>Le résultat vous est donné avant même que l'addition ne soit finie d'être posée!</t>
  </si>
  <si>
    <t>Les Additions</t>
  </si>
  <si>
    <r>
      <rPr>
        <b/>
        <sz val="26"/>
        <color theme="3" tint="-0.249977111117893"/>
        <rFont val="Calibri"/>
        <family val="2"/>
        <scheme val="minor"/>
      </rPr>
      <t>SOMMAIRE</t>
    </r>
    <r>
      <rPr>
        <b/>
        <sz val="22"/>
        <color theme="3" tint="-0.249977111117893"/>
        <rFont val="Calibri"/>
        <family val="2"/>
        <scheme val="minor"/>
      </rPr>
      <t xml:space="preserve">
</t>
    </r>
    <r>
      <rPr>
        <b/>
        <sz val="18"/>
        <color theme="3" tint="-0.249977111117893"/>
        <rFont val="Calibri"/>
        <family val="2"/>
        <scheme val="minor"/>
      </rPr>
      <t>Les Additions</t>
    </r>
  </si>
  <si>
    <t xml:space="preserve"> - Petits tours de calculs automatiques…</t>
  </si>
  <si>
    <t>Quel est votre âge, et…?</t>
  </si>
  <si>
    <t>Vous aimez le Chocolat...?</t>
  </si>
  <si>
    <t>L'addition magique !</t>
  </si>
  <si>
    <t>Votre Pointure est…!</t>
  </si>
  <si>
    <r>
      <rPr>
        <b/>
        <sz val="26"/>
        <color theme="3" tint="-0.249977111117893"/>
        <rFont val="Calibri"/>
        <family val="2"/>
        <scheme val="minor"/>
      </rPr>
      <t>SOMMAIRE</t>
    </r>
    <r>
      <rPr>
        <b/>
        <sz val="22"/>
        <color theme="3" tint="-0.249977111117893"/>
        <rFont val="Calibri"/>
        <family val="2"/>
        <scheme val="minor"/>
      </rPr>
      <t xml:space="preserve">
</t>
    </r>
    <r>
      <rPr>
        <b/>
        <sz val="18"/>
        <color theme="3" tint="-0.249977111117893"/>
        <rFont val="Calibri"/>
        <family val="2"/>
        <scheme val="minor"/>
      </rPr>
      <t>Quel est votre âge, et ..?</t>
    </r>
  </si>
  <si>
    <r>
      <rPr>
        <b/>
        <sz val="26"/>
        <color theme="3" tint="-0.249977111117893"/>
        <rFont val="Calibri"/>
        <family val="2"/>
        <scheme val="minor"/>
      </rPr>
      <t>SOMMAIRE</t>
    </r>
    <r>
      <rPr>
        <b/>
        <sz val="22"/>
        <color theme="3" tint="-0.249977111117893"/>
        <rFont val="Calibri"/>
        <family val="2"/>
        <scheme val="minor"/>
      </rPr>
      <t xml:space="preserve">
Les Calculs Mentaux</t>
    </r>
  </si>
  <si>
    <t>Vous devez choisir deux chiffres ou nombres entiers et les saisir ci-contre ==&gt;</t>
  </si>
  <si>
    <t>Serez-vous capable de résoudre l'addition en moins de 10 secondes ?</t>
  </si>
  <si>
    <t xml:space="preserve">De quel côté tombent les pommes ?    </t>
  </si>
  <si>
    <t>(champ ou lac ?)</t>
  </si>
  <si>
    <r>
      <t xml:space="preserve">Comment faire entrer dix vaches dans l'étable représentée à côte ?                                                                                                                </t>
    </r>
    <r>
      <rPr>
        <i/>
        <sz val="11"/>
        <color rgb="FF0070C0"/>
        <rFont val="Calibri"/>
        <family val="2"/>
        <scheme val="minor"/>
      </rPr>
      <t>(une lettre par case équivalent à une vache !)</t>
    </r>
  </si>
  <si>
    <t>Réponse:</t>
  </si>
  <si>
    <t xml:space="preserve">Ils tuent chacun une bécasse. </t>
  </si>
  <si>
    <t>Comment cela est-il possible ?</t>
  </si>
  <si>
    <t>Quizz de culture Générale, de logique et d'énigmes</t>
  </si>
  <si>
    <t xml:space="preserve"> - Une suite de plusieurs histoires…</t>
  </si>
  <si>
    <t>Suite de Fibonacci</t>
  </si>
  <si>
    <t xml:space="preserve"> - Quatres différentes additions personnalisables vous sont proposées</t>
  </si>
  <si>
    <r>
      <t xml:space="preserve">Le mystère des nombres </t>
    </r>
    <r>
      <rPr>
        <i/>
        <sz val="10"/>
        <color theme="3" tint="-0.249977111117893"/>
        <rFont val="Calibri"/>
        <family val="2"/>
      </rPr>
      <t>(2 versions)</t>
    </r>
  </si>
  <si>
    <t>ex:</t>
  </si>
  <si>
    <t>Inscrivez votre nombre choisit, ci-dessous:</t>
  </si>
  <si>
    <t xml:space="preserve">                       &lt;&lt;&lt;    cliquez ci-contre pour aller sur l'autre page</t>
  </si>
  <si>
    <t>Le Mystère du Nombre 95</t>
  </si>
  <si>
    <t>A MASQUER</t>
  </si>
  <si>
    <t>→</t>
  </si>
  <si>
    <t>Le Mystère du Nombre 1089</t>
  </si>
  <si>
    <t>Choisissiez un nombre à 3 chiffres où l'Unité (U) est plus petit que la Centaine (C).</t>
  </si>
  <si>
    <t>Peu-importe ce que vous choisissez, le résultat sera toujours le même !</t>
  </si>
</sst>
</file>

<file path=xl/styles.xml><?xml version="1.0" encoding="utf-8"?>
<styleSheet xmlns="http://schemas.openxmlformats.org/spreadsheetml/2006/main">
  <numFmts count="17">
    <numFmt numFmtId="164" formatCode="_(* #,##0.00_);_(* \(#,##0.00\);_(* &quot;-&quot;??_);_(@_)"/>
    <numFmt numFmtId="165" formatCode="_(&quot;€&quot;* #,##0.00_);_(&quot;€&quot;* \(#,##0.00\);_(&quot;€&quot;* &quot;-&quot;??_);_(@_)"/>
    <numFmt numFmtId="166" formatCode="_-* #,##0\ &quot;€&quot;_-;\-* #,##0\ &quot;€&quot;_-;_-* &quot;-&quot;??\ &quot;€&quot;_-;_-@_-"/>
    <numFmt numFmtId="167" formatCode="_-* #,##0\ _€_-;\-* #,##0\ _€_-;_-* &quot;-&quot;??\ _€_-;_-@_-"/>
    <numFmt numFmtId="168" formatCode="00&quot; &quot;000"/>
    <numFmt numFmtId="169" formatCode="000"/>
    <numFmt numFmtId="170" formatCode="00"/>
    <numFmt numFmtId="171" formatCode="#,##0_ ;\-#,##0\ "/>
    <numFmt numFmtId="172" formatCode="00&quot;/-&quot;"/>
    <numFmt numFmtId="173" formatCode="[$-F800]dddd\,\ mmmm\ dd\,\ yyyy"/>
    <numFmt numFmtId="174" formatCode="00,000"/>
    <numFmt numFmtId="175" formatCode="0.00&quot; g&quot;"/>
    <numFmt numFmtId="176" formatCode="000,000"/>
    <numFmt numFmtId="177" formatCode="&quot;version du : &quot;dd/mm/yyyy"/>
    <numFmt numFmtId="178" formatCode="_(* #,##0_);_(* \(#,##0\);_(* &quot;-&quot;??_);_(@_)"/>
    <numFmt numFmtId="179" formatCode="&quot;           Questions de Culture Générale, de logique et d'énigmes                       ( &quot;General&quot; / 41 )&quot;"/>
    <numFmt numFmtId="180" formatCode="0.0000000"/>
  </numFmts>
  <fonts count="250">
    <font>
      <sz val="11"/>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
      <b/>
      <sz val="14"/>
      <color theme="1"/>
      <name val="Calibri"/>
      <family val="2"/>
      <scheme val="minor"/>
    </font>
    <font>
      <b/>
      <sz val="16"/>
      <color rgb="FF0070C0"/>
      <name val="Calibri"/>
      <family val="2"/>
      <scheme val="minor"/>
    </font>
    <font>
      <b/>
      <sz val="12"/>
      <color rgb="FF824200"/>
      <name val="Century Gothic"/>
      <family val="2"/>
    </font>
    <font>
      <b/>
      <i/>
      <sz val="11"/>
      <color rgb="FFFF0000"/>
      <name val="Calibri"/>
      <family val="2"/>
      <scheme val="minor"/>
    </font>
    <font>
      <b/>
      <i/>
      <sz val="11"/>
      <color rgb="FF92D050"/>
      <name val="Calibri"/>
      <family val="2"/>
      <scheme val="minor"/>
    </font>
    <font>
      <i/>
      <sz val="11"/>
      <color rgb="FFFF0000"/>
      <name val="Calibri"/>
      <family val="2"/>
      <scheme val="minor"/>
    </font>
    <font>
      <u/>
      <sz val="9.35"/>
      <color theme="10"/>
      <name val="Calibri"/>
      <family val="2"/>
    </font>
    <font>
      <sz val="11"/>
      <color theme="1"/>
      <name val="Calibri"/>
      <family val="2"/>
      <scheme val="minor"/>
    </font>
    <font>
      <i/>
      <sz val="11"/>
      <color theme="3" tint="0.39997558519241921"/>
      <name val="Calibri"/>
      <family val="2"/>
      <scheme val="minor"/>
    </font>
    <font>
      <b/>
      <i/>
      <sz val="11"/>
      <color theme="3" tint="0.39997558519241921"/>
      <name val="Calibri"/>
      <family val="2"/>
      <scheme val="minor"/>
    </font>
    <font>
      <i/>
      <u/>
      <sz val="11"/>
      <color rgb="FFFF0000"/>
      <name val="Calibri"/>
      <family val="2"/>
      <scheme val="minor"/>
    </font>
    <font>
      <i/>
      <sz val="11"/>
      <color rgb="FF0070C0"/>
      <name val="Calibri"/>
      <family val="2"/>
      <scheme val="minor"/>
    </font>
    <font>
      <i/>
      <sz val="11"/>
      <color theme="4" tint="-0.249977111117893"/>
      <name val="Calibri"/>
      <family val="2"/>
      <scheme val="minor"/>
    </font>
    <font>
      <b/>
      <i/>
      <sz val="11"/>
      <color theme="4" tint="-0.249977111117893"/>
      <name val="Calibri"/>
      <family val="2"/>
      <scheme val="minor"/>
    </font>
    <font>
      <b/>
      <sz val="11"/>
      <color theme="1"/>
      <name val="Calibri"/>
      <family val="2"/>
      <scheme val="minor"/>
    </font>
    <font>
      <b/>
      <sz val="11"/>
      <color theme="1"/>
      <name val="Calibri"/>
      <family val="2"/>
    </font>
    <font>
      <b/>
      <i/>
      <u/>
      <sz val="11"/>
      <color theme="1"/>
      <name val="Calibri"/>
      <family val="2"/>
      <scheme val="minor"/>
    </font>
    <font>
      <b/>
      <sz val="11"/>
      <color rgb="FF002060"/>
      <name val="Calibri"/>
      <family val="2"/>
      <scheme val="minor"/>
    </font>
    <font>
      <b/>
      <i/>
      <sz val="11"/>
      <color rgb="FF002060"/>
      <name val="Calibri"/>
      <family val="2"/>
      <scheme val="minor"/>
    </font>
    <font>
      <b/>
      <sz val="28"/>
      <color rgb="FF824200"/>
      <name val="Century Gothic"/>
      <family val="2"/>
    </font>
    <font>
      <b/>
      <sz val="14"/>
      <color rgb="FF00B050"/>
      <name val="Calibri"/>
      <family val="2"/>
      <scheme val="minor"/>
    </font>
    <font>
      <b/>
      <i/>
      <sz val="14"/>
      <color rgb="FF00B050"/>
      <name val="Calibri"/>
      <family val="2"/>
      <scheme val="minor"/>
    </font>
    <font>
      <i/>
      <sz val="11"/>
      <color theme="3" tint="-0.249977111117893"/>
      <name val="Calibri"/>
      <family val="2"/>
      <scheme val="minor"/>
    </font>
    <font>
      <i/>
      <sz val="11"/>
      <color rgb="FF002060"/>
      <name val="Calibri"/>
      <family val="2"/>
      <scheme val="minor"/>
    </font>
    <font>
      <b/>
      <sz val="11"/>
      <color rgb="FF0070C0"/>
      <name val="Calibri"/>
      <family val="2"/>
      <scheme val="minor"/>
    </font>
    <font>
      <i/>
      <sz val="11"/>
      <color theme="3" tint="-0.499984740745262"/>
      <name val="Calibri"/>
      <family val="2"/>
      <scheme val="minor"/>
    </font>
    <font>
      <sz val="11"/>
      <color theme="3" tint="-0.499984740745262"/>
      <name val="Calibri"/>
      <family val="2"/>
      <scheme val="minor"/>
    </font>
    <font>
      <b/>
      <sz val="11"/>
      <color theme="3" tint="-0.499984740745262"/>
      <name val="Calibri"/>
      <family val="2"/>
      <scheme val="minor"/>
    </font>
    <font>
      <sz val="12"/>
      <name val="宋体"/>
      <charset val="134"/>
    </font>
    <font>
      <sz val="10"/>
      <name val="Arial"/>
      <family val="2"/>
    </font>
    <font>
      <u/>
      <sz val="11"/>
      <color theme="10"/>
      <name val="Calibri"/>
      <family val="2"/>
    </font>
    <font>
      <b/>
      <sz val="14"/>
      <color theme="3" tint="-0.249977111117893"/>
      <name val="Calibri"/>
      <family val="2"/>
    </font>
    <font>
      <b/>
      <u/>
      <sz val="12"/>
      <color theme="10"/>
      <name val="Calibri"/>
      <family val="2"/>
    </font>
    <font>
      <b/>
      <sz val="18"/>
      <color rgb="FF00B050"/>
      <name val="Calibri"/>
      <family val="2"/>
      <scheme val="minor"/>
    </font>
    <font>
      <b/>
      <sz val="11"/>
      <color theme="10"/>
      <name val="Calibri"/>
      <family val="2"/>
    </font>
    <font>
      <i/>
      <sz val="11"/>
      <color theme="10"/>
      <name val="Calibri"/>
      <family val="2"/>
    </font>
    <font>
      <b/>
      <sz val="12"/>
      <color rgb="FF00B050"/>
      <name val="Calibri"/>
      <family val="2"/>
    </font>
    <font>
      <i/>
      <sz val="14"/>
      <color theme="10"/>
      <name val="Calibri"/>
      <family val="2"/>
    </font>
    <font>
      <b/>
      <sz val="14"/>
      <color rgb="FFFF0000"/>
      <name val="Calibri"/>
      <family val="2"/>
    </font>
    <font>
      <b/>
      <sz val="14"/>
      <color theme="10"/>
      <name val="Calibri"/>
      <family val="2"/>
    </font>
    <font>
      <b/>
      <sz val="24"/>
      <color theme="0" tint="-4.9989318521683403E-2"/>
      <name val="Calibri"/>
      <family val="2"/>
      <scheme val="minor"/>
    </font>
    <font>
      <sz val="11"/>
      <color rgb="FF0070C0"/>
      <name val="Calibri"/>
      <family val="2"/>
      <scheme val="minor"/>
    </font>
    <font>
      <b/>
      <sz val="12"/>
      <color rgb="FFFF0000"/>
      <name val="Calibri"/>
      <family val="2"/>
      <scheme val="minor"/>
    </font>
    <font>
      <b/>
      <sz val="9"/>
      <color theme="1"/>
      <name val="Calibri"/>
      <family val="2"/>
      <scheme val="minor"/>
    </font>
    <font>
      <b/>
      <sz val="11"/>
      <color rgb="FFFF0000"/>
      <name val="Calibri"/>
      <family val="2"/>
      <scheme val="minor"/>
    </font>
    <font>
      <b/>
      <u/>
      <sz val="11"/>
      <color theme="1"/>
      <name val="Calibri"/>
      <family val="2"/>
      <scheme val="minor"/>
    </font>
    <font>
      <b/>
      <sz val="10"/>
      <color theme="1"/>
      <name val="Calibri"/>
      <family val="2"/>
      <scheme val="minor"/>
    </font>
    <font>
      <b/>
      <i/>
      <u/>
      <sz val="12"/>
      <color theme="1"/>
      <name val="Calibri"/>
      <family val="2"/>
      <scheme val="minor"/>
    </font>
    <font>
      <i/>
      <sz val="9"/>
      <color theme="1"/>
      <name val="Calibri"/>
      <family val="2"/>
      <scheme val="minor"/>
    </font>
    <font>
      <b/>
      <sz val="9"/>
      <color indexed="81"/>
      <name val="Tahoma"/>
      <family val="2"/>
    </font>
    <font>
      <sz val="9"/>
      <color indexed="81"/>
      <name val="Tahoma"/>
      <family val="2"/>
    </font>
    <font>
      <b/>
      <sz val="12"/>
      <color theme="1"/>
      <name val="Calibri"/>
      <family val="2"/>
      <scheme val="minor"/>
    </font>
    <font>
      <b/>
      <sz val="28"/>
      <color theme="0" tint="-4.9989318521683403E-2"/>
      <name val="Calibri"/>
      <family val="2"/>
      <scheme val="minor"/>
    </font>
    <font>
      <b/>
      <sz val="12"/>
      <color theme="5" tint="-0.499984740745262"/>
      <name val="Calibri"/>
      <family val="2"/>
      <scheme val="minor"/>
    </font>
    <font>
      <b/>
      <sz val="11"/>
      <color theme="5" tint="-0.499984740745262"/>
      <name val="Calibri"/>
      <family val="2"/>
      <scheme val="minor"/>
    </font>
    <font>
      <b/>
      <i/>
      <sz val="11"/>
      <color rgb="FF00B050"/>
      <name val="Calibri"/>
      <family val="2"/>
      <scheme val="minor"/>
    </font>
    <font>
      <sz val="11"/>
      <color rgb="FF002060"/>
      <name val="Calibri"/>
      <family val="2"/>
      <scheme val="minor"/>
    </font>
    <font>
      <b/>
      <sz val="14"/>
      <color rgb="FF008000"/>
      <name val="Calibri"/>
      <family val="2"/>
      <scheme val="minor"/>
    </font>
    <font>
      <b/>
      <sz val="18"/>
      <color rgb="FF003300"/>
      <name val="Calibri"/>
      <family val="2"/>
      <scheme val="minor"/>
    </font>
    <font>
      <b/>
      <sz val="18"/>
      <color theme="8" tint="-0.499984740745262"/>
      <name val="Calibri"/>
      <family val="2"/>
      <scheme val="minor"/>
    </font>
    <font>
      <b/>
      <sz val="26"/>
      <color theme="9" tint="-0.249977111117893"/>
      <name val="Calibri"/>
      <family val="2"/>
      <scheme val="minor"/>
    </font>
    <font>
      <b/>
      <sz val="11"/>
      <color rgb="FF002060"/>
      <name val="Kristen ITC"/>
      <family val="4"/>
    </font>
    <font>
      <b/>
      <sz val="11"/>
      <color theme="1"/>
      <name val="Kristen ITC"/>
      <family val="4"/>
    </font>
    <font>
      <b/>
      <i/>
      <u/>
      <sz val="9.35"/>
      <color theme="10"/>
      <name val="Calibri"/>
      <family val="2"/>
    </font>
    <font>
      <b/>
      <sz val="12"/>
      <color rgb="FF008000"/>
      <name val="Calibri"/>
      <family val="2"/>
      <scheme val="minor"/>
    </font>
    <font>
      <b/>
      <sz val="12"/>
      <color rgb="FF002060"/>
      <name val="Calibri"/>
      <family val="2"/>
      <scheme val="minor"/>
    </font>
    <font>
      <b/>
      <sz val="12"/>
      <color theme="8" tint="-0.249977111117893"/>
      <name val="Calibri"/>
      <family val="2"/>
      <scheme val="minor"/>
    </font>
    <font>
      <b/>
      <sz val="36"/>
      <color theme="0"/>
      <name val="Calibri"/>
      <family val="2"/>
      <scheme val="minor"/>
    </font>
    <font>
      <sz val="1"/>
      <color theme="7" tint="0.59999389629810485"/>
      <name val="Calibri"/>
      <family val="2"/>
      <scheme val="minor"/>
    </font>
    <font>
      <b/>
      <sz val="11"/>
      <color theme="2" tint="-0.89999084444715716"/>
      <name val="Calibri"/>
      <family val="2"/>
      <scheme val="minor"/>
    </font>
    <font>
      <i/>
      <sz val="8"/>
      <color theme="1"/>
      <name val="Calibri"/>
      <family val="2"/>
      <scheme val="minor"/>
    </font>
    <font>
      <b/>
      <sz val="11"/>
      <color rgb="FF008000"/>
      <name val="Calibri"/>
      <family val="2"/>
      <scheme val="minor"/>
    </font>
    <font>
      <b/>
      <sz val="26"/>
      <color theme="3" tint="-0.249977111117893"/>
      <name val="Calibri"/>
      <family val="2"/>
      <scheme val="minor"/>
    </font>
    <font>
      <b/>
      <sz val="22"/>
      <color theme="3" tint="-0.249977111117893"/>
      <name val="Calibri"/>
      <family val="2"/>
      <scheme val="minor"/>
    </font>
    <font>
      <b/>
      <sz val="18"/>
      <color theme="3" tint="-0.249977111117893"/>
      <name val="Calibri"/>
      <family val="2"/>
      <scheme val="minor"/>
    </font>
    <font>
      <b/>
      <sz val="12"/>
      <color theme="9" tint="-0.499984740745262"/>
      <name val="Calibri"/>
      <family val="2"/>
      <scheme val="minor"/>
    </font>
    <font>
      <b/>
      <sz val="11"/>
      <color theme="9" tint="-0.499984740745262"/>
      <name val="Calibri"/>
      <family val="2"/>
      <scheme val="minor"/>
    </font>
    <font>
      <b/>
      <sz val="8"/>
      <color theme="9" tint="-0.499984740745262"/>
      <name val="Calibri"/>
      <family val="2"/>
      <scheme val="minor"/>
    </font>
    <font>
      <b/>
      <sz val="24"/>
      <color theme="0"/>
      <name val="Calibri"/>
      <family val="2"/>
      <scheme val="minor"/>
    </font>
    <font>
      <b/>
      <i/>
      <sz val="36"/>
      <color theme="0"/>
      <name val="Calibri"/>
      <family val="2"/>
      <scheme val="minor"/>
    </font>
    <font>
      <b/>
      <i/>
      <sz val="16"/>
      <color theme="7" tint="-0.499984740745262"/>
      <name val="Calibri"/>
      <family val="2"/>
      <scheme val="minor"/>
    </font>
    <font>
      <b/>
      <i/>
      <sz val="11"/>
      <color rgb="FF008000"/>
      <name val="Calibri"/>
      <family val="2"/>
      <scheme val="minor"/>
    </font>
    <font>
      <b/>
      <i/>
      <sz val="11"/>
      <color theme="3" tint="-0.249977111117893"/>
      <name val="Calibri"/>
      <family val="2"/>
      <scheme val="minor"/>
    </font>
    <font>
      <i/>
      <sz val="9"/>
      <color indexed="81"/>
      <name val="Tahoma"/>
      <family val="2"/>
    </font>
    <font>
      <i/>
      <u/>
      <sz val="9"/>
      <color indexed="81"/>
      <name val="Tahoma"/>
      <family val="2"/>
    </font>
    <font>
      <b/>
      <i/>
      <sz val="12"/>
      <color rgb="FFFF0000"/>
      <name val="Calibri"/>
      <family val="2"/>
      <scheme val="minor"/>
    </font>
    <font>
      <sz val="36"/>
      <color theme="0" tint="-0.249977111117893"/>
      <name val="Calibri"/>
      <family val="2"/>
      <scheme val="minor"/>
    </font>
    <font>
      <b/>
      <sz val="11"/>
      <color theme="3" tint="0.39997558519241921"/>
      <name val="Calibri"/>
      <family val="2"/>
      <scheme val="minor"/>
    </font>
    <font>
      <b/>
      <i/>
      <sz val="11"/>
      <color rgb="FF0070C0"/>
      <name val="Calibri"/>
      <family val="2"/>
      <scheme val="minor"/>
    </font>
    <font>
      <b/>
      <i/>
      <sz val="14"/>
      <color rgb="FF0070C0"/>
      <name val="Calibri"/>
      <family val="2"/>
      <scheme val="minor"/>
    </font>
    <font>
      <b/>
      <sz val="12"/>
      <color rgb="FF008000"/>
      <name val="Calibri"/>
      <family val="2"/>
    </font>
    <font>
      <b/>
      <sz val="11"/>
      <color rgb="FF663300"/>
      <name val="Calibri"/>
      <family val="2"/>
      <scheme val="minor"/>
    </font>
    <font>
      <b/>
      <i/>
      <sz val="14"/>
      <color rgb="FFFF0000"/>
      <name val="Calibri"/>
      <family val="2"/>
      <scheme val="minor"/>
    </font>
    <font>
      <b/>
      <i/>
      <sz val="16"/>
      <color theme="4" tint="-0.249977111117893"/>
      <name val="Calibri"/>
      <family val="2"/>
      <scheme val="minor"/>
    </font>
    <font>
      <b/>
      <sz val="16"/>
      <color theme="4" tint="-0.249977111117893"/>
      <name val="Calibri"/>
      <family val="2"/>
      <scheme val="minor"/>
    </font>
    <font>
      <b/>
      <i/>
      <sz val="11"/>
      <color theme="5" tint="-0.249977111117893"/>
      <name val="Calibri"/>
      <family val="2"/>
      <scheme val="minor"/>
    </font>
    <font>
      <b/>
      <sz val="28"/>
      <color theme="5" tint="-0.249977111117893"/>
      <name val="Calibri"/>
      <family val="2"/>
      <scheme val="minor"/>
    </font>
    <font>
      <b/>
      <i/>
      <u/>
      <sz val="11"/>
      <color theme="10"/>
      <name val="Calibri"/>
      <family val="2"/>
    </font>
    <font>
      <b/>
      <u/>
      <sz val="16"/>
      <color rgb="FFFF0000"/>
      <name val="Calibri"/>
      <family val="2"/>
    </font>
    <font>
      <b/>
      <sz val="20"/>
      <color rgb="FF002060"/>
      <name val="Calibri"/>
      <family val="2"/>
      <scheme val="minor"/>
    </font>
    <font>
      <b/>
      <sz val="16"/>
      <color rgb="FF002060"/>
      <name val="Calibri"/>
      <family val="2"/>
      <scheme val="minor"/>
    </font>
    <font>
      <b/>
      <i/>
      <sz val="10"/>
      <color rgb="FF008000"/>
      <name val="Calibri"/>
      <family val="2"/>
      <scheme val="minor"/>
    </font>
    <font>
      <b/>
      <i/>
      <sz val="10"/>
      <color rgb="FFFF0000"/>
      <name val="Calibri"/>
      <family val="2"/>
      <scheme val="minor"/>
    </font>
    <font>
      <b/>
      <sz val="36"/>
      <color rgb="FF7030A0"/>
      <name val="Calibri"/>
      <family val="2"/>
      <scheme val="minor"/>
    </font>
    <font>
      <b/>
      <sz val="12"/>
      <color rgb="FF7030A0"/>
      <name val="Calibri"/>
      <family val="2"/>
      <scheme val="minor"/>
    </font>
    <font>
      <sz val="11"/>
      <color theme="7" tint="0.79998168889431442"/>
      <name val="Calibri"/>
      <family val="2"/>
      <scheme val="minor"/>
    </font>
    <font>
      <b/>
      <i/>
      <sz val="13"/>
      <color rgb="FF008000"/>
      <name val="Calibri"/>
      <family val="2"/>
      <scheme val="minor"/>
    </font>
    <font>
      <b/>
      <sz val="10"/>
      <color rgb="FF008000"/>
      <name val="Calibri"/>
      <family val="2"/>
      <scheme val="minor"/>
    </font>
    <font>
      <i/>
      <sz val="11"/>
      <color rgb="FFFF00FF"/>
      <name val="Calibri"/>
      <family val="2"/>
      <scheme val="minor"/>
    </font>
    <font>
      <i/>
      <sz val="10"/>
      <color theme="1"/>
      <name val="Calibri"/>
      <family val="2"/>
      <scheme val="minor"/>
    </font>
    <font>
      <i/>
      <sz val="11"/>
      <color rgb="FF008000"/>
      <name val="Calibri"/>
      <family val="2"/>
      <scheme val="minor"/>
    </font>
    <font>
      <b/>
      <i/>
      <sz val="9"/>
      <color indexed="81"/>
      <name val="Tahoma"/>
      <family val="2"/>
    </font>
    <font>
      <b/>
      <sz val="36"/>
      <color rgb="FFC00000"/>
      <name val="Calibri"/>
      <family val="2"/>
      <scheme val="minor"/>
    </font>
    <font>
      <i/>
      <sz val="11"/>
      <color rgb="FFC00000"/>
      <name val="Calibri"/>
      <family val="2"/>
      <scheme val="minor"/>
    </font>
    <font>
      <b/>
      <i/>
      <sz val="11"/>
      <color rgb="FFC00000"/>
      <name val="Calibri"/>
      <family val="2"/>
      <scheme val="minor"/>
    </font>
    <font>
      <b/>
      <i/>
      <u/>
      <sz val="14"/>
      <color rgb="FFFF0000"/>
      <name val="Calibri"/>
      <family val="2"/>
      <scheme val="minor"/>
    </font>
    <font>
      <b/>
      <u/>
      <sz val="12"/>
      <color rgb="FF0070C0"/>
      <name val="Calibri"/>
      <family val="2"/>
      <scheme val="minor"/>
    </font>
    <font>
      <b/>
      <sz val="11"/>
      <color theme="9" tint="-0.249977111117893"/>
      <name val="Calibri"/>
      <family val="2"/>
      <scheme val="minor"/>
    </font>
    <font>
      <b/>
      <i/>
      <u/>
      <sz val="11"/>
      <color rgb="FF008000"/>
      <name val="Calibri"/>
      <family val="2"/>
      <scheme val="minor"/>
    </font>
    <font>
      <b/>
      <sz val="11"/>
      <color theme="1" tint="4.9989318521683403E-2"/>
      <name val="Calibri"/>
      <family val="2"/>
      <scheme val="minor"/>
    </font>
    <font>
      <b/>
      <i/>
      <sz val="14"/>
      <color rgb="FF008000"/>
      <name val="Calibri"/>
      <family val="2"/>
      <scheme val="minor"/>
    </font>
    <font>
      <b/>
      <i/>
      <sz val="18"/>
      <color rgb="FF00B050"/>
      <name val="Calibri"/>
      <family val="2"/>
      <scheme val="minor"/>
    </font>
    <font>
      <sz val="1"/>
      <color theme="1"/>
      <name val="Calibri"/>
      <family val="2"/>
      <scheme val="minor"/>
    </font>
    <font>
      <b/>
      <sz val="10"/>
      <color rgb="FFFF0000"/>
      <name val="Calibri"/>
      <family val="2"/>
      <scheme val="minor"/>
    </font>
    <font>
      <i/>
      <u/>
      <sz val="11"/>
      <color theme="1"/>
      <name val="Calibri"/>
      <family val="2"/>
      <scheme val="minor"/>
    </font>
    <font>
      <b/>
      <sz val="18"/>
      <color rgb="FF0070C0"/>
      <name val="Calibri"/>
      <family val="2"/>
      <scheme val="minor"/>
    </font>
    <font>
      <b/>
      <i/>
      <u/>
      <sz val="11"/>
      <color rgb="FF7030A0"/>
      <name val="Calibri"/>
      <family val="2"/>
      <scheme val="minor"/>
    </font>
    <font>
      <b/>
      <i/>
      <sz val="14"/>
      <color theme="0"/>
      <name val="Calibri"/>
      <family val="2"/>
      <scheme val="minor"/>
    </font>
    <font>
      <b/>
      <i/>
      <sz val="10"/>
      <color rgb="FF0070C0"/>
      <name val="Calibri"/>
      <family val="2"/>
      <scheme val="minor"/>
    </font>
    <font>
      <b/>
      <sz val="28"/>
      <color rgb="FFFF0000"/>
      <name val="Calibri"/>
      <family val="2"/>
      <scheme val="minor"/>
    </font>
    <font>
      <b/>
      <sz val="16"/>
      <color rgb="FF008000"/>
      <name val="Calibri"/>
      <family val="2"/>
      <scheme val="minor"/>
    </font>
    <font>
      <b/>
      <sz val="8"/>
      <color theme="0"/>
      <name val="Calibri"/>
      <family val="2"/>
      <scheme val="minor"/>
    </font>
    <font>
      <b/>
      <i/>
      <sz val="12"/>
      <color rgb="FFFF0066"/>
      <name val="Calibri"/>
      <family val="2"/>
      <scheme val="minor"/>
    </font>
    <font>
      <b/>
      <i/>
      <sz val="14"/>
      <color rgb="FF002060"/>
      <name val="Calibri"/>
      <family val="2"/>
      <scheme val="minor"/>
    </font>
    <font>
      <sz val="11"/>
      <color rgb="FFFF0000"/>
      <name val="Calibri"/>
      <family val="2"/>
      <scheme val="minor"/>
    </font>
    <font>
      <b/>
      <i/>
      <sz val="11"/>
      <name val="Calibri"/>
      <family val="2"/>
      <scheme val="minor"/>
    </font>
    <font>
      <b/>
      <sz val="8"/>
      <name val="Calibri"/>
      <family val="2"/>
      <scheme val="minor"/>
    </font>
    <font>
      <sz val="12"/>
      <color rgb="FFFF0000"/>
      <name val="Calibri"/>
      <family val="2"/>
      <scheme val="minor"/>
    </font>
    <font>
      <sz val="11"/>
      <color rgb="FF7030A0"/>
      <name val="Calibri"/>
      <family val="2"/>
      <scheme val="minor"/>
    </font>
    <font>
      <b/>
      <u/>
      <sz val="14"/>
      <color rgb="FF7030A0"/>
      <name val="Calibri"/>
      <family val="2"/>
    </font>
    <font>
      <i/>
      <sz val="11"/>
      <color rgb="FF542A00"/>
      <name val="Calibri"/>
      <family val="2"/>
      <scheme val="minor"/>
    </font>
    <font>
      <sz val="11"/>
      <color rgb="FF542A00"/>
      <name val="Calibri"/>
      <family val="2"/>
      <scheme val="minor"/>
    </font>
    <font>
      <b/>
      <i/>
      <sz val="12"/>
      <color rgb="FF008000"/>
      <name val="Calibri"/>
      <family val="2"/>
      <scheme val="minor"/>
    </font>
    <font>
      <b/>
      <u/>
      <sz val="20"/>
      <color rgb="FF002060"/>
      <name val="Calibri"/>
      <family val="2"/>
    </font>
    <font>
      <sz val="10"/>
      <color rgb="FF000000"/>
      <name val="Arial Unicode MS"/>
      <family val="2"/>
    </font>
    <font>
      <b/>
      <sz val="28"/>
      <color theme="9" tint="-0.499984740745262"/>
      <name val="Century Gothic"/>
      <family val="2"/>
    </font>
    <font>
      <b/>
      <sz val="12"/>
      <color rgb="FF542A00"/>
      <name val="Century Gothic"/>
      <family val="2"/>
    </font>
    <font>
      <b/>
      <sz val="16"/>
      <color rgb="FF542A00"/>
      <name val="Century Gothic"/>
      <family val="2"/>
    </font>
    <font>
      <b/>
      <sz val="14"/>
      <color rgb="FF542A00"/>
      <name val="Century Gothic"/>
      <family val="2"/>
    </font>
    <font>
      <b/>
      <sz val="11"/>
      <color theme="0"/>
      <name val="Calibri"/>
      <family val="2"/>
      <scheme val="minor"/>
    </font>
    <font>
      <b/>
      <i/>
      <sz val="11"/>
      <color theme="9" tint="-0.499984740745262"/>
      <name val="Calibri"/>
      <family val="2"/>
      <scheme val="minor"/>
    </font>
    <font>
      <b/>
      <sz val="12"/>
      <color theme="9" tint="-0.249977111117893"/>
      <name val="Calibri"/>
      <family val="2"/>
      <scheme val="minor"/>
    </font>
    <font>
      <b/>
      <sz val="33"/>
      <color theme="0"/>
      <name val="Calibri"/>
      <family val="2"/>
      <scheme val="minor"/>
    </font>
    <font>
      <b/>
      <i/>
      <sz val="11"/>
      <color theme="8" tint="-0.499984740745262"/>
      <name val="Calibri"/>
      <family val="2"/>
      <scheme val="minor"/>
    </font>
    <font>
      <b/>
      <sz val="13.5"/>
      <color theme="5" tint="-0.499984740745262"/>
      <name val="Calibri"/>
      <family val="2"/>
      <scheme val="minor"/>
    </font>
    <font>
      <b/>
      <sz val="13.5"/>
      <color theme="3" tint="-0.499984740745262"/>
      <name val="Calibri"/>
      <family val="2"/>
      <scheme val="minor"/>
    </font>
    <font>
      <b/>
      <sz val="13.5"/>
      <color theme="9" tint="-0.499984740745262"/>
      <name val="Calibri"/>
      <family val="2"/>
      <scheme val="minor"/>
    </font>
    <font>
      <b/>
      <sz val="13.5"/>
      <color theme="6" tint="-0.499984740745262"/>
      <name val="Calibri"/>
      <family val="2"/>
      <scheme val="minor"/>
    </font>
    <font>
      <b/>
      <sz val="13.5"/>
      <color theme="0" tint="-0.499984740745262"/>
      <name val="Calibri"/>
      <family val="2"/>
      <scheme val="minor"/>
    </font>
    <font>
      <b/>
      <sz val="13.5"/>
      <color theme="2" tint="-0.89999084444715716"/>
      <name val="Calibri"/>
      <family val="2"/>
      <scheme val="minor"/>
    </font>
    <font>
      <b/>
      <sz val="22"/>
      <color theme="0"/>
      <name val="Calibri"/>
      <family val="2"/>
      <scheme val="minor"/>
    </font>
    <font>
      <b/>
      <sz val="26"/>
      <color theme="0"/>
      <name val="Calibri"/>
      <family val="2"/>
      <scheme val="minor"/>
    </font>
    <font>
      <b/>
      <sz val="18"/>
      <color theme="0"/>
      <name val="Calibri"/>
      <family val="2"/>
      <scheme val="minor"/>
    </font>
    <font>
      <b/>
      <sz val="12"/>
      <color rgb="FFCC9900"/>
      <name val="Calibri"/>
      <family val="2"/>
      <scheme val="minor"/>
    </font>
    <font>
      <sz val="11"/>
      <color theme="9" tint="0.59999389629810485"/>
      <name val="Calibri"/>
      <family val="2"/>
      <scheme val="minor"/>
    </font>
    <font>
      <sz val="10"/>
      <color theme="1"/>
      <name val="Calibri"/>
      <family val="2"/>
      <scheme val="minor"/>
    </font>
    <font>
      <b/>
      <i/>
      <sz val="8"/>
      <color rgb="FF7030A0"/>
      <name val="Calibri"/>
      <family val="2"/>
      <scheme val="minor"/>
    </font>
    <font>
      <b/>
      <i/>
      <sz val="8"/>
      <color rgb="FFC00000"/>
      <name val="Calibri"/>
      <family val="2"/>
      <scheme val="minor"/>
    </font>
    <font>
      <sz val="11"/>
      <color rgb="FF008000"/>
      <name val="Calibri"/>
      <family val="2"/>
      <scheme val="minor"/>
    </font>
    <font>
      <b/>
      <sz val="18"/>
      <color rgb="FFFF3399"/>
      <name val="Calibri"/>
      <family val="2"/>
      <scheme val="minor"/>
    </font>
    <font>
      <b/>
      <u/>
      <sz val="18"/>
      <color rgb="FFFF0000"/>
      <name val="Calibri"/>
      <family val="2"/>
    </font>
    <font>
      <b/>
      <i/>
      <sz val="14"/>
      <name val="Calibri"/>
      <family val="2"/>
      <scheme val="minor"/>
    </font>
    <font>
      <sz val="11"/>
      <name val="Calibri"/>
      <family val="2"/>
      <scheme val="minor"/>
    </font>
    <font>
      <sz val="11"/>
      <color theme="0" tint="-0.14999847407452621"/>
      <name val="Calibri"/>
      <family val="2"/>
      <scheme val="minor"/>
    </font>
    <font>
      <sz val="12"/>
      <color rgb="FF7030A0"/>
      <name val="Calibri"/>
      <family val="2"/>
      <scheme val="minor"/>
    </font>
    <font>
      <b/>
      <sz val="11"/>
      <color theme="3" tint="-0.249977111117893"/>
      <name val="Calibri"/>
      <family val="2"/>
      <scheme val="minor"/>
    </font>
    <font>
      <i/>
      <u/>
      <sz val="11"/>
      <color theme="3" tint="-0.249977111117893"/>
      <name val="Calibri"/>
      <family val="2"/>
      <scheme val="minor"/>
    </font>
    <font>
      <b/>
      <u/>
      <sz val="11"/>
      <color theme="3" tint="-0.249977111117893"/>
      <name val="Calibri"/>
      <family val="2"/>
      <scheme val="minor"/>
    </font>
    <font>
      <u/>
      <sz val="12"/>
      <color theme="10"/>
      <name val="Calibri"/>
      <family val="2"/>
    </font>
    <font>
      <b/>
      <sz val="20"/>
      <color theme="0" tint="-0.249977111117893"/>
      <name val="Calibri"/>
      <family val="2"/>
      <scheme val="minor"/>
    </font>
    <font>
      <b/>
      <sz val="23"/>
      <color theme="0" tint="-4.9989318521683403E-2"/>
      <name val="Comic Sans MS"/>
      <family val="4"/>
    </font>
    <font>
      <b/>
      <sz val="11"/>
      <color rgb="FF7030A0"/>
      <name val="Calibri"/>
      <family val="2"/>
      <scheme val="minor"/>
    </font>
    <font>
      <b/>
      <sz val="18"/>
      <color rgb="FF002060"/>
      <name val="Calibri"/>
      <family val="2"/>
      <scheme val="minor"/>
    </font>
    <font>
      <sz val="1"/>
      <color rgb="FF002060"/>
      <name val="Calibri"/>
      <family val="2"/>
      <scheme val="minor"/>
    </font>
    <font>
      <b/>
      <sz val="14"/>
      <color rgb="FF002060"/>
      <name val="Calibri"/>
      <family val="2"/>
      <scheme val="minor"/>
    </font>
    <font>
      <b/>
      <sz val="12"/>
      <color rgb="FF0070C0"/>
      <name val="Calibri"/>
      <family val="2"/>
      <scheme val="minor"/>
    </font>
    <font>
      <b/>
      <sz val="14"/>
      <color rgb="FF0070C0"/>
      <name val="Calibri"/>
      <family val="2"/>
      <scheme val="minor"/>
    </font>
    <font>
      <b/>
      <i/>
      <sz val="9"/>
      <color rgb="FFFF0000"/>
      <name val="Calibri"/>
      <family val="2"/>
      <scheme val="minor"/>
    </font>
    <font>
      <b/>
      <sz val="28"/>
      <color theme="0"/>
      <name val="Century Gothic"/>
      <family val="2"/>
    </font>
    <font>
      <b/>
      <sz val="1"/>
      <color rgb="FF002060"/>
      <name val="Book Antiqua"/>
      <family val="1"/>
    </font>
    <font>
      <b/>
      <i/>
      <sz val="11"/>
      <color theme="0" tint="-4.9989318521683403E-2"/>
      <name val="Calibri"/>
      <family val="2"/>
      <scheme val="minor"/>
    </font>
    <font>
      <b/>
      <sz val="20"/>
      <color rgb="FF0070C0"/>
      <name val="Calibri"/>
      <family val="2"/>
      <scheme val="minor"/>
    </font>
    <font>
      <b/>
      <sz val="20"/>
      <color theme="0"/>
      <name val="Calibri"/>
      <family val="2"/>
      <scheme val="minor"/>
    </font>
    <font>
      <b/>
      <sz val="22"/>
      <color theme="0" tint="-0.249977111117893"/>
      <name val="Calibri"/>
      <family val="2"/>
      <scheme val="minor"/>
    </font>
    <font>
      <b/>
      <i/>
      <sz val="16"/>
      <name val="Calibri"/>
      <family val="2"/>
      <scheme val="minor"/>
    </font>
    <font>
      <b/>
      <sz val="11"/>
      <color theme="0" tint="-0.14999847407452621"/>
      <name val="Calibri"/>
      <family val="2"/>
      <scheme val="minor"/>
    </font>
    <font>
      <b/>
      <sz val="36"/>
      <color theme="0" tint="-0.24994659260841701"/>
      <name val="Calibri"/>
      <family val="2"/>
      <scheme val="minor"/>
    </font>
    <font>
      <b/>
      <i/>
      <sz val="12"/>
      <color rgb="FF002060"/>
      <name val="Calibri"/>
      <family val="2"/>
      <scheme val="minor"/>
    </font>
    <font>
      <b/>
      <u/>
      <sz val="8"/>
      <color theme="1"/>
      <name val="Calibri"/>
      <family val="2"/>
      <scheme val="minor"/>
    </font>
    <font>
      <sz val="9"/>
      <color theme="0"/>
      <name val="Calibri"/>
      <family val="2"/>
      <scheme val="minor"/>
    </font>
    <font>
      <sz val="18"/>
      <color theme="2" tint="-0.749992370372631"/>
      <name val="Calibri"/>
      <family val="2"/>
      <scheme val="minor"/>
    </font>
    <font>
      <b/>
      <i/>
      <sz val="18"/>
      <color theme="0"/>
      <name val="Calibri"/>
      <family val="2"/>
      <scheme val="minor"/>
    </font>
    <font>
      <b/>
      <sz val="16"/>
      <color rgb="FFC00000"/>
      <name val="Calibri"/>
      <family val="2"/>
    </font>
    <font>
      <b/>
      <i/>
      <sz val="11"/>
      <color theme="0"/>
      <name val="Calibri"/>
      <family val="2"/>
      <scheme val="minor"/>
    </font>
    <font>
      <b/>
      <i/>
      <sz val="10"/>
      <color rgb="FF008000"/>
      <name val="Calibri"/>
      <family val="2"/>
    </font>
    <font>
      <b/>
      <i/>
      <sz val="22"/>
      <color rgb="FFFFC000"/>
      <name val="Calibri"/>
      <family val="2"/>
      <scheme val="minor"/>
    </font>
    <font>
      <b/>
      <i/>
      <sz val="8"/>
      <color theme="0"/>
      <name val="Calibri"/>
      <family val="2"/>
      <scheme val="minor"/>
    </font>
    <font>
      <b/>
      <i/>
      <u/>
      <sz val="18"/>
      <color theme="0"/>
      <name val="Calibri"/>
      <family val="2"/>
      <scheme val="minor"/>
    </font>
    <font>
      <b/>
      <u/>
      <sz val="16"/>
      <color rgb="FFFF0000"/>
      <name val="Calibri"/>
      <family val="2"/>
      <scheme val="minor"/>
    </font>
    <font>
      <i/>
      <sz val="8"/>
      <color rgb="FF002060"/>
      <name val="Calibri"/>
      <family val="2"/>
      <scheme val="minor"/>
    </font>
    <font>
      <b/>
      <sz val="26"/>
      <color theme="8" tint="-0.499984740745262"/>
      <name val="Calibri"/>
      <family val="2"/>
      <scheme val="minor"/>
    </font>
    <font>
      <b/>
      <sz val="11"/>
      <color theme="3" tint="-0.249977111117893"/>
      <name val="Kristen ITC"/>
      <family val="4"/>
    </font>
    <font>
      <b/>
      <u/>
      <sz val="8"/>
      <color theme="3" tint="-0.249977111117893"/>
      <name val="Kristen ITC"/>
      <family val="4"/>
    </font>
    <font>
      <b/>
      <sz val="26"/>
      <color rgb="FF006666"/>
      <name val="Calibri"/>
      <family val="2"/>
      <scheme val="minor"/>
    </font>
    <font>
      <b/>
      <sz val="8"/>
      <color rgb="FF008000"/>
      <name val="Calibri"/>
      <family val="2"/>
      <scheme val="minor"/>
    </font>
    <font>
      <b/>
      <sz val="12"/>
      <color rgb="FF154579"/>
      <name val="Calibri"/>
      <family val="2"/>
      <scheme val="minor"/>
    </font>
    <font>
      <sz val="7"/>
      <color rgb="FF00B0F0"/>
      <name val="Calibri"/>
      <family val="2"/>
    </font>
    <font>
      <b/>
      <i/>
      <sz val="13"/>
      <color rgb="FF0070C0"/>
      <name val="Calibri"/>
      <family val="2"/>
      <scheme val="minor"/>
    </font>
    <font>
      <b/>
      <sz val="10"/>
      <color rgb="FF7030A0"/>
      <name val="Calibri"/>
      <family val="2"/>
      <scheme val="minor"/>
    </font>
    <font>
      <b/>
      <sz val="20"/>
      <color rgb="FF008000"/>
      <name val="Calibri"/>
      <family val="2"/>
      <scheme val="minor"/>
    </font>
    <font>
      <i/>
      <sz val="14"/>
      <color rgb="FFFF0000"/>
      <name val="Calibri"/>
      <family val="2"/>
      <scheme val="minor"/>
    </font>
    <font>
      <sz val="9"/>
      <color theme="1"/>
      <name val="Calibri"/>
      <family val="2"/>
      <scheme val="minor"/>
    </font>
    <font>
      <sz val="8"/>
      <color theme="1"/>
      <name val="Calibri"/>
      <family val="2"/>
      <scheme val="minor"/>
    </font>
    <font>
      <sz val="11"/>
      <color theme="1"/>
      <name val="Tempus Sans ITC"/>
      <family val="5"/>
    </font>
    <font>
      <b/>
      <u/>
      <sz val="11"/>
      <color theme="1"/>
      <name val="Tempus Sans ITC"/>
      <family val="5"/>
    </font>
    <font>
      <b/>
      <sz val="11"/>
      <color rgb="FF008000"/>
      <name val="Tempus Sans ITC"/>
      <family val="5"/>
    </font>
    <font>
      <sz val="11"/>
      <color rgb="FFFFFFCC"/>
      <name val="Tempus Sans ITC"/>
      <family val="5"/>
    </font>
    <font>
      <b/>
      <sz val="12"/>
      <name val="Calibri"/>
      <family val="2"/>
      <scheme val="minor"/>
    </font>
    <font>
      <sz val="14"/>
      <color rgb="FF7030A0"/>
      <name val="Calibri"/>
      <family val="2"/>
      <scheme val="minor"/>
    </font>
    <font>
      <i/>
      <sz val="12"/>
      <color theme="3" tint="-0.249977111117893"/>
      <name val="Calibri"/>
      <family val="2"/>
    </font>
    <font>
      <b/>
      <sz val="18"/>
      <color theme="3" tint="-0.249977111117893"/>
      <name val="Calibri"/>
      <family val="2"/>
    </font>
    <font>
      <b/>
      <sz val="11"/>
      <color theme="8" tint="-0.249977111117893"/>
      <name val="Calibri"/>
      <family val="2"/>
      <scheme val="minor"/>
    </font>
    <font>
      <b/>
      <sz val="14"/>
      <color rgb="FFCC0066"/>
      <name val="Century Gothic"/>
      <family val="2"/>
    </font>
    <font>
      <b/>
      <sz val="12"/>
      <color rgb="FFCC0099"/>
      <name val="Century Gothic"/>
      <family val="2"/>
    </font>
    <font>
      <b/>
      <sz val="16"/>
      <color rgb="FFCC0099"/>
      <name val="Century Gothic"/>
      <family val="2"/>
    </font>
    <font>
      <sz val="11"/>
      <color rgb="FFCC0099"/>
      <name val="Calibri"/>
      <family val="2"/>
      <scheme val="minor"/>
    </font>
    <font>
      <b/>
      <sz val="14"/>
      <color rgb="FFCC0099"/>
      <name val="Century Gothic"/>
      <family val="2"/>
    </font>
    <font>
      <b/>
      <sz val="11"/>
      <color theme="0" tint="-4.9989318521683403E-2"/>
      <name val="Calibri"/>
      <family val="2"/>
      <scheme val="minor"/>
    </font>
    <font>
      <b/>
      <sz val="12"/>
      <color theme="0" tint="-4.9989318521683403E-2"/>
      <name val="Century Gothic"/>
      <family val="2"/>
    </font>
    <font>
      <b/>
      <i/>
      <sz val="12"/>
      <color theme="0" tint="-4.9989318521683403E-2"/>
      <name val="Century Gothic"/>
      <family val="2"/>
    </font>
    <font>
      <i/>
      <sz val="10"/>
      <color theme="3" tint="-0.249977111117893"/>
      <name val="Calibri"/>
      <family val="2"/>
    </font>
    <font>
      <b/>
      <sz val="11"/>
      <color rgb="FF000000"/>
      <name val="Calibri"/>
      <family val="2"/>
      <scheme val="minor"/>
    </font>
    <font>
      <b/>
      <i/>
      <sz val="8"/>
      <color rgb="FFFF0000"/>
      <name val="Calibri"/>
      <family val="2"/>
      <scheme val="minor"/>
    </font>
    <font>
      <b/>
      <i/>
      <sz val="14"/>
      <color rgb="FF7030A0"/>
      <name val="Calibri"/>
      <family val="2"/>
      <scheme val="minor"/>
    </font>
    <font>
      <i/>
      <sz val="11"/>
      <color rgb="FF7030A0"/>
      <name val="Calibri"/>
      <family val="2"/>
      <scheme val="minor"/>
    </font>
    <font>
      <b/>
      <sz val="16"/>
      <color rgb="FFCC0066"/>
      <name val="Calibri"/>
      <family val="2"/>
      <scheme val="minor"/>
    </font>
  </fonts>
  <fills count="68">
    <fill>
      <patternFill patternType="none"/>
    </fill>
    <fill>
      <patternFill patternType="gray125"/>
    </fill>
    <fill>
      <patternFill patternType="solid">
        <fgColor theme="9" tint="0.59999389629810485"/>
        <bgColor indexed="64"/>
      </patternFill>
    </fill>
    <fill>
      <patternFill patternType="solid">
        <fgColor theme="8" tint="-0.249977111117893"/>
        <bgColor indexed="64"/>
      </patternFill>
    </fill>
    <fill>
      <patternFill patternType="solid">
        <fgColor rgb="FFFFFF99"/>
        <bgColor indexed="64"/>
      </patternFill>
    </fill>
    <fill>
      <patternFill patternType="solid">
        <fgColor theme="5" tint="0.79998168889431442"/>
        <bgColor indexed="64"/>
      </patternFill>
    </fill>
    <fill>
      <patternFill patternType="solid">
        <fgColor rgb="FF663300"/>
        <bgColor indexed="64"/>
      </patternFill>
    </fill>
    <fill>
      <patternFill patternType="solid">
        <fgColor theme="8" tint="0.79998168889431442"/>
        <bgColor indexed="64"/>
      </patternFill>
    </fill>
    <fill>
      <patternFill patternType="solid">
        <fgColor rgb="FFFFFFCC"/>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EFFF"/>
        <bgColor indexed="64"/>
      </patternFill>
    </fill>
    <fill>
      <patternFill patternType="solid">
        <fgColor theme="8" tint="0.59999389629810485"/>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FFC000"/>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rgb="FF92D050"/>
        <bgColor indexed="64"/>
      </patternFill>
    </fill>
    <fill>
      <patternFill patternType="solid">
        <fgColor rgb="FF336600"/>
        <bgColor indexed="64"/>
      </patternFill>
    </fill>
    <fill>
      <patternFill patternType="solid">
        <fgColor rgb="FFFFFF66"/>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E59B6D"/>
        <bgColor indexed="64"/>
      </patternFill>
    </fill>
    <fill>
      <patternFill patternType="solid">
        <fgColor rgb="FF66FFFF"/>
        <bgColor indexed="64"/>
      </patternFill>
    </fill>
    <fill>
      <patternFill patternType="solid">
        <fgColor theme="4" tint="-0.249977111117893"/>
        <bgColor indexed="64"/>
      </patternFill>
    </fill>
    <fill>
      <patternFill patternType="solid">
        <fgColor theme="7" tint="0.79998168889431442"/>
        <bgColor indexed="64"/>
      </patternFill>
    </fill>
    <fill>
      <patternFill patternType="solid">
        <fgColor rgb="FFFF0000"/>
        <bgColor indexed="64"/>
      </patternFill>
    </fill>
    <fill>
      <patternFill patternType="solid">
        <fgColor rgb="FF0070C0"/>
        <bgColor indexed="64"/>
      </patternFill>
    </fill>
    <fill>
      <patternFill patternType="solid">
        <fgColor theme="1" tint="0.34998626667073579"/>
        <bgColor indexed="64"/>
      </patternFill>
    </fill>
    <fill>
      <patternFill patternType="solid">
        <fgColor theme="9" tint="-0.249977111117893"/>
        <bgColor indexed="64"/>
      </patternFill>
    </fill>
    <fill>
      <patternFill patternType="solid">
        <fgColor theme="8" tint="-0.499984740745262"/>
        <bgColor indexed="64"/>
      </patternFill>
    </fill>
    <fill>
      <patternFill patternType="solid">
        <fgColor theme="4" tint="-0.499984740745262"/>
        <bgColor indexed="64"/>
      </patternFill>
    </fill>
    <fill>
      <patternFill patternType="solid">
        <fgColor theme="6" tint="0.39997558519241921"/>
        <bgColor indexed="64"/>
      </patternFill>
    </fill>
    <fill>
      <patternFill patternType="solid">
        <fgColor theme="0" tint="-0.249977111117893"/>
        <bgColor indexed="64"/>
      </patternFill>
    </fill>
    <fill>
      <gradientFill degree="135">
        <stop position="0">
          <color rgb="FFC00000"/>
        </stop>
        <stop position="1">
          <color rgb="FFFF0000"/>
        </stop>
      </gradientFill>
    </fill>
    <fill>
      <patternFill patternType="solid">
        <fgColor theme="7" tint="-0.249977111117893"/>
        <bgColor indexed="64"/>
      </patternFill>
    </fill>
    <fill>
      <gradientFill type="path" left="0.5" right="0.5" top="0.5" bottom="0.5">
        <stop position="0">
          <color rgb="FF92D050"/>
        </stop>
        <stop position="1">
          <color theme="8" tint="0.59999389629810485"/>
        </stop>
      </gradientFill>
    </fill>
    <fill>
      <gradientFill degree="45">
        <stop position="0">
          <color rgb="FF92D050"/>
        </stop>
        <stop position="0.5">
          <color rgb="FF00B050"/>
        </stop>
        <stop position="1">
          <color rgb="FF92D050"/>
        </stop>
      </gradientFill>
    </fill>
    <fill>
      <gradientFill type="path" left="0.5" right="0.5" top="0.5" bottom="0.5">
        <stop position="0">
          <color rgb="FF7030A0"/>
        </stop>
        <stop position="1">
          <color theme="7" tint="0.59999389629810485"/>
        </stop>
      </gradientFill>
    </fill>
    <fill>
      <gradientFill degree="270">
        <stop position="0">
          <color rgb="FF008000"/>
        </stop>
        <stop position="1">
          <color rgb="FF92D050"/>
        </stop>
      </gradientFill>
    </fill>
    <fill>
      <gradientFill degree="90">
        <stop position="0">
          <color theme="8" tint="-0.25098422193060094"/>
        </stop>
        <stop position="0.5">
          <color theme="8" tint="-0.49803155613879818"/>
        </stop>
        <stop position="1">
          <color theme="8" tint="-0.25098422193060094"/>
        </stop>
      </gradientFill>
    </fill>
    <fill>
      <gradientFill degree="90">
        <stop position="0">
          <color theme="2" tint="-0.25098422193060094"/>
        </stop>
        <stop position="0.5">
          <color theme="2" tint="-0.49803155613879818"/>
        </stop>
        <stop position="1">
          <color theme="2" tint="-0.25098422193060094"/>
        </stop>
      </gradientFill>
    </fill>
    <fill>
      <gradientFill degree="90">
        <stop position="0">
          <color theme="0"/>
        </stop>
        <stop position="0.5">
          <color theme="4"/>
        </stop>
        <stop position="1">
          <color theme="0"/>
        </stop>
      </gradientFill>
    </fill>
    <fill>
      <gradientFill degree="90">
        <stop position="0">
          <color theme="8" tint="0.80001220740379042"/>
        </stop>
        <stop position="1">
          <color theme="8" tint="-0.49803155613879818"/>
        </stop>
      </gradientFill>
    </fill>
    <fill>
      <gradientFill degree="270">
        <stop position="0">
          <color theme="8" tint="0.80001220740379042"/>
        </stop>
        <stop position="1">
          <color theme="8" tint="-0.49803155613879818"/>
        </stop>
      </gradientFill>
    </fill>
    <fill>
      <patternFill patternType="solid">
        <fgColor rgb="FF006666"/>
        <bgColor indexed="64"/>
      </patternFill>
    </fill>
    <fill>
      <patternFill patternType="solid">
        <fgColor theme="7" tint="0.39997558519241921"/>
        <bgColor indexed="64"/>
      </patternFill>
    </fill>
    <fill>
      <gradientFill degree="270">
        <stop position="0">
          <color rgb="FFFF6600"/>
        </stop>
        <stop position="1">
          <color rgb="FFFFFF00"/>
        </stop>
      </gradientFill>
    </fill>
    <fill>
      <patternFill patternType="solid">
        <fgColor rgb="FF663300"/>
        <bgColor auto="1"/>
      </patternFill>
    </fill>
    <fill>
      <patternFill patternType="solid">
        <fgColor theme="5" tint="0.59999389629810485"/>
        <bgColor indexed="64"/>
      </patternFill>
    </fill>
    <fill>
      <gradientFill type="path" left="0.5" right="0.5" top="0.5" bottom="0.5">
        <stop position="0">
          <color theme="3" tint="0.40000610370189521"/>
        </stop>
        <stop position="1">
          <color theme="4" tint="-0.25098422193060094"/>
        </stop>
      </gradientFill>
    </fill>
    <fill>
      <patternFill patternType="solid">
        <fgColor theme="0"/>
        <bgColor auto="1"/>
      </patternFill>
    </fill>
    <fill>
      <patternFill patternType="solid">
        <fgColor rgb="FFCC0066"/>
        <bgColor indexed="64"/>
      </patternFill>
    </fill>
    <fill>
      <patternFill patternType="solid">
        <fgColor rgb="FFCC0099"/>
        <bgColor indexed="64"/>
      </patternFill>
    </fill>
    <fill>
      <patternFill patternType="solid">
        <fgColor rgb="FFCC99FF"/>
        <bgColor indexed="64"/>
      </patternFill>
    </fill>
    <fill>
      <patternFill patternType="solid">
        <fgColor rgb="FF800000"/>
        <bgColor indexed="64"/>
      </patternFill>
    </fill>
    <fill>
      <patternFill patternType="solid">
        <fgColor theme="3" tint="-0.499984740745262"/>
        <bgColor indexed="64"/>
      </patternFill>
    </fill>
    <fill>
      <patternFill patternType="solid">
        <fgColor theme="1"/>
        <bgColor indexed="64"/>
      </patternFill>
    </fill>
    <fill>
      <patternFill patternType="solid">
        <fgColor rgb="FFFF66FF"/>
        <bgColor indexed="64"/>
      </patternFill>
    </fill>
  </fills>
  <borders count="55">
    <border>
      <left/>
      <right/>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ck">
        <color rgb="FFFF0000"/>
      </left>
      <right style="medium">
        <color indexed="64"/>
      </right>
      <top style="thick">
        <color rgb="FFFF0000"/>
      </top>
      <bottom style="thick">
        <color rgb="FFFF0000"/>
      </bottom>
      <diagonal/>
    </border>
    <border>
      <left style="medium">
        <color indexed="64"/>
      </left>
      <right style="thick">
        <color rgb="FFFF0000"/>
      </right>
      <top style="thick">
        <color rgb="FFFF0000"/>
      </top>
      <bottom style="thick">
        <color rgb="FFFF0000"/>
      </bottom>
      <diagonal/>
    </border>
    <border>
      <left style="medium">
        <color indexed="64"/>
      </left>
      <right style="medium">
        <color indexed="64"/>
      </right>
      <top style="thick">
        <color rgb="FFFF0000"/>
      </top>
      <bottom style="thick">
        <color rgb="FFFF0000"/>
      </bottom>
      <diagonal/>
    </border>
    <border>
      <left/>
      <right/>
      <top/>
      <bottom style="thick">
        <color rgb="FFFF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8">
    <xf numFmtId="0" fontId="0" fillId="0" borderId="0"/>
    <xf numFmtId="0" fontId="10" fillId="0" borderId="0" applyNumberFormat="0" applyFill="0" applyBorder="0" applyAlignment="0" applyProtection="0">
      <alignment vertical="top"/>
      <protection locked="0"/>
    </xf>
    <xf numFmtId="165" fontId="11" fillId="0" borderId="0" applyFont="0" applyFill="0" applyBorder="0" applyAlignment="0" applyProtection="0"/>
    <xf numFmtId="164" fontId="11" fillId="0" borderId="0" applyFont="0" applyFill="0" applyBorder="0" applyAlignment="0" applyProtection="0"/>
    <xf numFmtId="0" fontId="32" fillId="0" borderId="0">
      <alignment vertical="center"/>
    </xf>
    <xf numFmtId="0" fontId="33" fillId="0" borderId="0"/>
    <xf numFmtId="0" fontId="34" fillId="0" borderId="0" applyNumberFormat="0" applyFill="0" applyBorder="0" applyAlignment="0" applyProtection="0">
      <alignment vertical="top"/>
      <protection locked="0"/>
    </xf>
    <xf numFmtId="164" fontId="11" fillId="0" borderId="0" applyFont="0" applyFill="0" applyBorder="0" applyAlignment="0" applyProtection="0"/>
  </cellStyleXfs>
  <cellXfs count="943">
    <xf numFmtId="0" fontId="0" fillId="0" borderId="0" xfId="0"/>
    <xf numFmtId="0" fontId="3" fillId="2" borderId="3" xfId="0" applyNumberFormat="1" applyFont="1" applyFill="1" applyBorder="1" applyAlignment="1" applyProtection="1">
      <alignment horizontal="center"/>
      <protection locked="0"/>
    </xf>
    <xf numFmtId="166" fontId="3" fillId="2" borderId="3" xfId="2" applyNumberFormat="1" applyFont="1" applyFill="1" applyBorder="1" applyAlignment="1" applyProtection="1">
      <alignment horizontal="center"/>
      <protection locked="0"/>
    </xf>
    <xf numFmtId="0" fontId="3" fillId="2" borderId="3" xfId="2" applyNumberFormat="1" applyFont="1" applyFill="1" applyBorder="1" applyAlignment="1" applyProtection="1">
      <alignment horizontal="center"/>
      <protection locked="0"/>
    </xf>
    <xf numFmtId="0" fontId="3" fillId="2" borderId="3" xfId="2" applyNumberFormat="1" applyFont="1" applyFill="1" applyBorder="1" applyAlignment="1" applyProtection="1">
      <alignment horizontal="left"/>
      <protection locked="0"/>
    </xf>
    <xf numFmtId="0" fontId="18" fillId="2" borderId="3" xfId="0" applyFont="1" applyFill="1" applyBorder="1" applyAlignment="1" applyProtection="1">
      <alignment horizontal="center"/>
      <protection locked="0"/>
    </xf>
    <xf numFmtId="0" fontId="19" fillId="2" borderId="3" xfId="0" applyFont="1" applyFill="1" applyBorder="1" applyAlignment="1" applyProtection="1">
      <alignment horizontal="center"/>
      <protection locked="0"/>
    </xf>
    <xf numFmtId="0" fontId="0" fillId="8" borderId="0" xfId="0" applyFill="1" applyProtection="1">
      <protection hidden="1"/>
    </xf>
    <xf numFmtId="0" fontId="0" fillId="9" borderId="0" xfId="0" applyFill="1"/>
    <xf numFmtId="0" fontId="0" fillId="12" borderId="0" xfId="0" applyFill="1" applyProtection="1">
      <protection hidden="1"/>
    </xf>
    <xf numFmtId="0" fontId="0" fillId="12" borderId="0" xfId="0" applyFill="1"/>
    <xf numFmtId="0" fontId="0" fillId="12" borderId="0" xfId="0" applyFill="1" applyAlignment="1" applyProtection="1">
      <alignment horizontal="center"/>
      <protection hidden="1"/>
    </xf>
    <xf numFmtId="0" fontId="30" fillId="12" borderId="0" xfId="0" applyFont="1" applyFill="1" applyProtection="1">
      <protection hidden="1"/>
    </xf>
    <xf numFmtId="168" fontId="31" fillId="12" borderId="0" xfId="3" applyNumberFormat="1" applyFont="1" applyFill="1" applyAlignment="1" applyProtection="1">
      <alignment horizontal="right"/>
      <protection hidden="1"/>
    </xf>
    <xf numFmtId="0" fontId="31" fillId="12" borderId="0" xfId="0" applyFont="1" applyFill="1" applyProtection="1">
      <protection hidden="1"/>
    </xf>
    <xf numFmtId="168" fontId="31" fillId="12" borderId="0" xfId="3" applyNumberFormat="1" applyFont="1" applyFill="1" applyAlignment="1" applyProtection="1">
      <alignment horizontal="right"/>
      <protection locked="0"/>
    </xf>
    <xf numFmtId="0" fontId="3" fillId="14" borderId="0" xfId="0" applyNumberFormat="1" applyFont="1" applyFill="1" applyBorder="1" applyAlignment="1" applyProtection="1">
      <alignment horizontal="center"/>
      <protection locked="0"/>
    </xf>
    <xf numFmtId="0" fontId="3" fillId="14" borderId="0" xfId="2" applyNumberFormat="1" applyFont="1" applyFill="1" applyBorder="1" applyAlignment="1" applyProtection="1">
      <alignment horizontal="left"/>
      <protection locked="0"/>
    </xf>
    <xf numFmtId="0" fontId="3" fillId="14" borderId="0" xfId="2" applyNumberFormat="1" applyFont="1" applyFill="1" applyBorder="1" applyAlignment="1" applyProtection="1">
      <alignment horizontal="center"/>
      <protection locked="0"/>
    </xf>
    <xf numFmtId="0" fontId="3" fillId="14" borderId="0" xfId="0" applyFont="1" applyFill="1" applyBorder="1" applyAlignment="1" applyProtection="1">
      <alignment horizontal="center"/>
      <protection locked="0"/>
    </xf>
    <xf numFmtId="0" fontId="3" fillId="2" borderId="0" xfId="0" applyNumberFormat="1" applyFont="1" applyFill="1" applyBorder="1" applyAlignment="1" applyProtection="1">
      <alignment horizontal="center"/>
      <protection locked="0"/>
    </xf>
    <xf numFmtId="0" fontId="0" fillId="0" borderId="0" xfId="0" applyProtection="1">
      <protection hidden="1"/>
    </xf>
    <xf numFmtId="0" fontId="36" fillId="0" borderId="0" xfId="6" applyFont="1" applyAlignment="1" applyProtection="1">
      <alignment vertical="center"/>
      <protection hidden="1"/>
    </xf>
    <xf numFmtId="0" fontId="0" fillId="0" borderId="11" xfId="0" applyBorder="1" applyProtection="1">
      <protection hidden="1"/>
    </xf>
    <xf numFmtId="0" fontId="0" fillId="0" borderId="10" xfId="0" applyBorder="1" applyProtection="1">
      <protection hidden="1"/>
    </xf>
    <xf numFmtId="164" fontId="0" fillId="0" borderId="0" xfId="3" applyFont="1" applyProtection="1">
      <protection hidden="1"/>
    </xf>
    <xf numFmtId="0" fontId="0" fillId="16" borderId="0" xfId="0" applyFill="1" applyBorder="1" applyProtection="1">
      <protection hidden="1"/>
    </xf>
    <xf numFmtId="0" fontId="0" fillId="16" borderId="7" xfId="0" applyFill="1" applyBorder="1" applyProtection="1">
      <protection hidden="1"/>
    </xf>
    <xf numFmtId="0" fontId="2" fillId="16" borderId="0" xfId="0" applyFont="1" applyFill="1" applyBorder="1" applyProtection="1">
      <protection hidden="1"/>
    </xf>
    <xf numFmtId="0" fontId="18" fillId="16" borderId="0" xfId="0" applyFont="1" applyFill="1" applyBorder="1" applyProtection="1">
      <protection hidden="1"/>
    </xf>
    <xf numFmtId="0" fontId="2" fillId="16" borderId="7" xfId="0" applyFont="1" applyFill="1" applyBorder="1" applyAlignment="1" applyProtection="1">
      <alignment horizontal="left"/>
      <protection hidden="1"/>
    </xf>
    <xf numFmtId="0" fontId="0" fillId="16" borderId="0" xfId="0" applyFont="1" applyFill="1" applyBorder="1" applyAlignment="1" applyProtection="1">
      <protection hidden="1"/>
    </xf>
    <xf numFmtId="0" fontId="0" fillId="16" borderId="0" xfId="0" applyFill="1" applyBorder="1" applyAlignment="1" applyProtection="1">
      <alignment horizontal="left"/>
      <protection hidden="1"/>
    </xf>
    <xf numFmtId="0" fontId="40" fillId="16" borderId="0" xfId="6" applyFont="1" applyFill="1" applyBorder="1" applyAlignment="1" applyProtection="1">
      <alignment horizontal="center"/>
      <protection hidden="1"/>
    </xf>
    <xf numFmtId="0" fontId="38" fillId="0" borderId="0" xfId="6" applyFont="1" applyBorder="1" applyAlignment="1" applyProtection="1">
      <protection hidden="1"/>
    </xf>
    <xf numFmtId="0" fontId="38" fillId="0" borderId="7" xfId="6" applyFont="1" applyBorder="1" applyAlignment="1" applyProtection="1">
      <protection hidden="1"/>
    </xf>
    <xf numFmtId="0" fontId="42" fillId="17" borderId="2" xfId="6" applyFont="1" applyFill="1" applyBorder="1" applyAlignment="1" applyProtection="1">
      <alignment horizontal="center" vertical="center"/>
      <protection locked="0"/>
    </xf>
    <xf numFmtId="0" fontId="43" fillId="0" borderId="7" xfId="6" applyFont="1" applyBorder="1" applyAlignment="1" applyProtection="1">
      <alignment horizontal="right"/>
      <protection hidden="1"/>
    </xf>
    <xf numFmtId="0" fontId="0" fillId="0" borderId="5" xfId="0" applyBorder="1" applyProtection="1">
      <protection hidden="1"/>
    </xf>
    <xf numFmtId="0" fontId="18" fillId="17" borderId="8" xfId="0" applyFont="1" applyFill="1" applyBorder="1" applyAlignment="1" applyProtection="1">
      <alignment horizontal="center"/>
      <protection locked="0"/>
    </xf>
    <xf numFmtId="0" fontId="55" fillId="0" borderId="0" xfId="0" applyFont="1" applyAlignment="1">
      <alignment horizontal="center"/>
    </xf>
    <xf numFmtId="0" fontId="58" fillId="21" borderId="0" xfId="0" applyFont="1" applyFill="1" applyAlignment="1" applyProtection="1">
      <alignment horizontal="right"/>
      <protection hidden="1"/>
    </xf>
    <xf numFmtId="0" fontId="0" fillId="0" borderId="0" xfId="0" applyAlignment="1" applyProtection="1">
      <alignment horizontal="center"/>
      <protection hidden="1"/>
    </xf>
    <xf numFmtId="0" fontId="2" fillId="0" borderId="0" xfId="0" applyFont="1" applyProtection="1">
      <protection hidden="1"/>
    </xf>
    <xf numFmtId="0" fontId="18" fillId="0" borderId="0" xfId="0" applyFont="1" applyAlignment="1" applyProtection="1">
      <alignment horizontal="right"/>
      <protection hidden="1"/>
    </xf>
    <xf numFmtId="0" fontId="2" fillId="0" borderId="0" xfId="0" applyFont="1" applyAlignment="1" applyProtection="1">
      <alignment horizontal="center"/>
      <protection hidden="1"/>
    </xf>
    <xf numFmtId="0" fontId="2" fillId="0" borderId="0" xfId="0" applyFont="1" applyAlignment="1" applyProtection="1">
      <alignment horizontal="left" vertical="top" wrapText="1"/>
      <protection hidden="1"/>
    </xf>
    <xf numFmtId="0" fontId="0" fillId="20" borderId="0" xfId="0" applyFill="1"/>
    <xf numFmtId="0" fontId="62" fillId="23" borderId="0" xfId="0" applyFont="1" applyFill="1" applyAlignment="1" applyProtection="1">
      <alignment wrapText="1"/>
      <protection hidden="1"/>
    </xf>
    <xf numFmtId="0" fontId="0" fillId="17" borderId="0" xfId="0" applyFill="1"/>
    <xf numFmtId="0" fontId="0" fillId="24" borderId="0" xfId="0" applyFill="1"/>
    <xf numFmtId="0" fontId="64" fillId="17" borderId="0" xfId="0" applyFont="1" applyFill="1" applyAlignment="1"/>
    <xf numFmtId="0" fontId="0" fillId="26" borderId="0" xfId="0" applyFill="1" applyProtection="1">
      <protection hidden="1"/>
    </xf>
    <xf numFmtId="0" fontId="0" fillId="26" borderId="0" xfId="0" applyFill="1" applyAlignment="1" applyProtection="1">
      <alignment wrapText="1"/>
      <protection hidden="1"/>
    </xf>
    <xf numFmtId="0" fontId="0" fillId="16" borderId="20" xfId="0" applyFill="1" applyBorder="1" applyAlignment="1" applyProtection="1">
      <alignment horizontal="center"/>
      <protection locked="0"/>
    </xf>
    <xf numFmtId="0" fontId="0" fillId="16" borderId="3" xfId="0" applyFill="1" applyBorder="1" applyAlignment="1" applyProtection="1">
      <alignment horizontal="center"/>
      <protection locked="0"/>
    </xf>
    <xf numFmtId="0" fontId="0" fillId="16" borderId="22" xfId="0" applyFill="1" applyBorder="1" applyAlignment="1" applyProtection="1">
      <alignment horizontal="center"/>
      <protection locked="0"/>
    </xf>
    <xf numFmtId="0" fontId="0" fillId="16" borderId="23" xfId="0" applyFill="1" applyBorder="1" applyAlignment="1" applyProtection="1">
      <alignment horizontal="center"/>
      <protection locked="0"/>
    </xf>
    <xf numFmtId="0" fontId="0" fillId="11" borderId="0" xfId="0" applyFill="1" applyProtection="1">
      <protection hidden="1"/>
    </xf>
    <xf numFmtId="0" fontId="18" fillId="27" borderId="25" xfId="0" applyFont="1" applyFill="1" applyBorder="1" applyAlignment="1" applyProtection="1">
      <alignment horizontal="center" vertical="center"/>
      <protection hidden="1"/>
    </xf>
    <xf numFmtId="0" fontId="18" fillId="27" borderId="26" xfId="0" applyFont="1" applyFill="1" applyBorder="1" applyAlignment="1" applyProtection="1">
      <alignment horizontal="center" vertical="center"/>
      <protection hidden="1"/>
    </xf>
    <xf numFmtId="0" fontId="18" fillId="10" borderId="26" xfId="0" applyFont="1" applyFill="1" applyBorder="1" applyAlignment="1" applyProtection="1">
      <alignment horizontal="center" vertical="center"/>
      <protection hidden="1"/>
    </xf>
    <xf numFmtId="0" fontId="18" fillId="10" borderId="27" xfId="0" applyFont="1" applyFill="1" applyBorder="1" applyAlignment="1" applyProtection="1">
      <alignment horizontal="center" vertical="center"/>
      <protection hidden="1"/>
    </xf>
    <xf numFmtId="0" fontId="0" fillId="16" borderId="28" xfId="0" applyFill="1" applyBorder="1" applyAlignment="1" applyProtection="1">
      <alignment horizontal="center"/>
      <protection locked="0"/>
    </xf>
    <xf numFmtId="0" fontId="0" fillId="16" borderId="29" xfId="0" applyFill="1" applyBorder="1" applyAlignment="1" applyProtection="1">
      <alignment horizontal="center"/>
      <protection locked="0"/>
    </xf>
    <xf numFmtId="0" fontId="0" fillId="10" borderId="29" xfId="0" applyFill="1" applyBorder="1" applyAlignment="1" applyProtection="1">
      <alignment horizontal="center"/>
      <protection locked="0"/>
    </xf>
    <xf numFmtId="0" fontId="0" fillId="10" borderId="3" xfId="0" applyFill="1" applyBorder="1" applyAlignment="1" applyProtection="1">
      <alignment horizontal="center"/>
      <protection locked="0"/>
    </xf>
    <xf numFmtId="0" fontId="0" fillId="10" borderId="21" xfId="0" applyFill="1" applyBorder="1" applyAlignment="1" applyProtection="1">
      <alignment horizontal="center"/>
      <protection locked="0"/>
    </xf>
    <xf numFmtId="0" fontId="0" fillId="10" borderId="23" xfId="0" applyFill="1" applyBorder="1" applyAlignment="1" applyProtection="1">
      <alignment horizontal="center"/>
      <protection locked="0"/>
    </xf>
    <xf numFmtId="0" fontId="0" fillId="10" borderId="24" xfId="0" applyFill="1" applyBorder="1" applyAlignment="1" applyProtection="1">
      <alignment horizontal="center"/>
      <protection locked="0"/>
    </xf>
    <xf numFmtId="0" fontId="0" fillId="10" borderId="30" xfId="0" applyFill="1" applyBorder="1" applyAlignment="1" applyProtection="1">
      <alignment horizontal="center"/>
      <protection locked="0"/>
    </xf>
    <xf numFmtId="0" fontId="0" fillId="0" borderId="0" xfId="0" applyBorder="1" applyProtection="1">
      <protection hidden="1"/>
    </xf>
    <xf numFmtId="0" fontId="52" fillId="0" borderId="0" xfId="0" applyFont="1" applyBorder="1" applyAlignment="1" applyProtection="1">
      <alignment horizontal="center"/>
      <protection hidden="1"/>
    </xf>
    <xf numFmtId="0" fontId="0" fillId="0" borderId="8" xfId="0" applyBorder="1" applyProtection="1">
      <protection hidden="1"/>
    </xf>
    <xf numFmtId="0" fontId="0" fillId="0" borderId="0" xfId="0" applyBorder="1" applyAlignment="1" applyProtection="1">
      <protection hidden="1"/>
    </xf>
    <xf numFmtId="0" fontId="2" fillId="0" borderId="7" xfId="0" applyFont="1" applyBorder="1" applyProtection="1">
      <protection hidden="1"/>
    </xf>
    <xf numFmtId="0" fontId="18" fillId="0" borderId="9" xfId="0" applyFont="1" applyBorder="1" applyAlignment="1" applyProtection="1">
      <alignment horizontal="center"/>
      <protection hidden="1"/>
    </xf>
    <xf numFmtId="0" fontId="1" fillId="0" borderId="18" xfId="0" applyFont="1" applyBorder="1" applyProtection="1">
      <protection hidden="1"/>
    </xf>
    <xf numFmtId="0" fontId="2" fillId="0" borderId="2" xfId="0" applyFont="1" applyBorder="1" applyAlignment="1" applyProtection="1">
      <alignment horizontal="center"/>
      <protection hidden="1"/>
    </xf>
    <xf numFmtId="0" fontId="49" fillId="0" borderId="7" xfId="0" applyFont="1" applyBorder="1" applyAlignment="1" applyProtection="1">
      <alignment horizontal="right"/>
      <protection hidden="1"/>
    </xf>
    <xf numFmtId="0" fontId="0" fillId="0" borderId="18" xfId="0" applyBorder="1" applyProtection="1">
      <protection hidden="1"/>
    </xf>
    <xf numFmtId="0" fontId="2" fillId="0" borderId="7" xfId="0" applyFont="1" applyBorder="1" applyAlignment="1" applyProtection="1">
      <alignment horizontal="right"/>
      <protection hidden="1"/>
    </xf>
    <xf numFmtId="0" fontId="0" fillId="0" borderId="0" xfId="0" applyBorder="1" applyAlignment="1" applyProtection="1">
      <alignment horizontal="center"/>
      <protection hidden="1"/>
    </xf>
    <xf numFmtId="0" fontId="0" fillId="0" borderId="18" xfId="0" applyBorder="1" applyAlignment="1" applyProtection="1">
      <alignment horizontal="center" vertical="center"/>
      <protection hidden="1"/>
    </xf>
    <xf numFmtId="0" fontId="1" fillId="0" borderId="0" xfId="0" applyFont="1" applyBorder="1" applyProtection="1">
      <protection hidden="1"/>
    </xf>
    <xf numFmtId="0" fontId="46" fillId="17" borderId="2" xfId="0" applyFont="1" applyFill="1" applyBorder="1" applyAlignment="1" applyProtection="1">
      <alignment horizontal="center"/>
      <protection hidden="1"/>
    </xf>
    <xf numFmtId="0" fontId="48" fillId="17" borderId="2" xfId="0" applyFont="1" applyFill="1" applyBorder="1" applyAlignment="1" applyProtection="1">
      <alignment horizontal="center"/>
      <protection hidden="1"/>
    </xf>
    <xf numFmtId="0" fontId="34" fillId="0" borderId="0" xfId="6" applyAlignment="1" applyProtection="1">
      <alignment horizontal="center"/>
      <protection hidden="1"/>
    </xf>
    <xf numFmtId="0" fontId="34" fillId="0" borderId="0" xfId="6" applyAlignment="1" applyProtection="1">
      <protection hidden="1"/>
    </xf>
    <xf numFmtId="0" fontId="47" fillId="0" borderId="19" xfId="0" applyFont="1" applyBorder="1" applyAlignment="1" applyProtection="1">
      <alignment horizontal="center"/>
      <protection hidden="1"/>
    </xf>
    <xf numFmtId="0" fontId="18" fillId="0" borderId="19" xfId="0" applyFont="1" applyBorder="1" applyAlignment="1" applyProtection="1">
      <alignment horizontal="center"/>
      <protection hidden="1"/>
    </xf>
    <xf numFmtId="0" fontId="47" fillId="0" borderId="19" xfId="0" applyFont="1" applyBorder="1" applyProtection="1">
      <protection hidden="1"/>
    </xf>
    <xf numFmtId="0" fontId="2" fillId="0" borderId="0" xfId="0" applyFont="1" applyFill="1" applyBorder="1" applyProtection="1">
      <protection hidden="1"/>
    </xf>
    <xf numFmtId="0" fontId="0" fillId="0" borderId="0" xfId="0" applyFill="1" applyBorder="1" applyProtection="1">
      <protection hidden="1"/>
    </xf>
    <xf numFmtId="0" fontId="2" fillId="0" borderId="0" xfId="0" applyFont="1" applyFill="1" applyBorder="1" applyAlignment="1" applyProtection="1">
      <alignment horizontal="center"/>
      <protection hidden="1"/>
    </xf>
    <xf numFmtId="0" fontId="2" fillId="0" borderId="0" xfId="0" applyFont="1" applyFill="1" applyBorder="1" applyAlignment="1" applyProtection="1">
      <alignment vertical="top"/>
      <protection hidden="1"/>
    </xf>
    <xf numFmtId="171" fontId="46" fillId="0" borderId="0" xfId="3" applyNumberFormat="1" applyFont="1" applyFill="1" applyBorder="1" applyAlignment="1" applyProtection="1">
      <alignment horizontal="center"/>
      <protection hidden="1"/>
    </xf>
    <xf numFmtId="0" fontId="18" fillId="0" borderId="18" xfId="0" applyFont="1" applyBorder="1" applyAlignment="1" applyProtection="1">
      <alignment horizontal="center"/>
      <protection hidden="1"/>
    </xf>
    <xf numFmtId="0" fontId="0" fillId="0" borderId="18" xfId="0" applyBorder="1" applyAlignment="1" applyProtection="1">
      <alignment horizontal="center"/>
      <protection hidden="1"/>
    </xf>
    <xf numFmtId="169" fontId="18" fillId="0" borderId="0" xfId="0" applyNumberFormat="1" applyFont="1" applyFill="1" applyBorder="1" applyAlignment="1" applyProtection="1">
      <alignment horizontal="center" vertical="center"/>
      <protection hidden="1"/>
    </xf>
    <xf numFmtId="170" fontId="18" fillId="0" borderId="0" xfId="0" applyNumberFormat="1" applyFont="1" applyFill="1" applyBorder="1" applyAlignment="1" applyProtection="1">
      <alignment horizontal="center" vertical="center"/>
      <protection hidden="1"/>
    </xf>
    <xf numFmtId="0" fontId="18"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0" fillId="0" borderId="0" xfId="0" applyFill="1" applyBorder="1" applyAlignment="1" applyProtection="1">
      <alignment vertical="justify" wrapText="1"/>
      <protection hidden="1"/>
    </xf>
    <xf numFmtId="0" fontId="0" fillId="0" borderId="0" xfId="0" applyFill="1" applyBorder="1" applyAlignment="1" applyProtection="1">
      <protection hidden="1"/>
    </xf>
    <xf numFmtId="0" fontId="0" fillId="0" borderId="0" xfId="0" applyFill="1" applyBorder="1" applyAlignment="1" applyProtection="1">
      <alignment vertical="center"/>
      <protection hidden="1"/>
    </xf>
    <xf numFmtId="0" fontId="0" fillId="0" borderId="0" xfId="0" applyFill="1" applyBorder="1" applyAlignment="1" applyProtection="1">
      <alignment horizontal="center" vertical="justify" wrapText="1"/>
      <protection hidden="1"/>
    </xf>
    <xf numFmtId="0" fontId="0" fillId="0" borderId="0" xfId="0" applyFill="1" applyBorder="1" applyAlignment="1" applyProtection="1">
      <alignment horizontal="center" vertical="center"/>
      <protection hidden="1"/>
    </xf>
    <xf numFmtId="0" fontId="18" fillId="0" borderId="17" xfId="0" applyFont="1" applyBorder="1" applyAlignment="1" applyProtection="1">
      <alignment horizontal="center"/>
      <protection hidden="1"/>
    </xf>
    <xf numFmtId="0" fontId="0" fillId="0" borderId="17" xfId="0" applyBorder="1" applyAlignment="1" applyProtection="1">
      <alignment horizontal="center"/>
      <protection hidden="1"/>
    </xf>
    <xf numFmtId="0" fontId="0" fillId="0" borderId="0" xfId="0" applyFont="1" applyFill="1" applyBorder="1" applyAlignment="1" applyProtection="1">
      <alignment horizontal="center" vertical="justify" wrapText="1"/>
      <protection hidden="1"/>
    </xf>
    <xf numFmtId="0" fontId="0" fillId="0" borderId="0" xfId="0" applyFont="1" applyFill="1" applyBorder="1" applyAlignment="1" applyProtection="1">
      <alignment horizontal="center" vertical="center"/>
      <protection hidden="1"/>
    </xf>
    <xf numFmtId="0" fontId="3" fillId="0" borderId="0" xfId="0" applyFont="1" applyFill="1" applyBorder="1" applyProtection="1">
      <protection hidden="1"/>
    </xf>
    <xf numFmtId="0" fontId="46" fillId="0" borderId="0" xfId="0" applyFont="1" applyFill="1" applyBorder="1" applyAlignment="1" applyProtection="1">
      <alignment horizontal="center"/>
      <protection hidden="1"/>
    </xf>
    <xf numFmtId="0" fontId="18" fillId="0" borderId="4" xfId="0" applyFont="1" applyBorder="1" applyAlignment="1" applyProtection="1">
      <alignment horizontal="center" vertical="center"/>
      <protection hidden="1"/>
    </xf>
    <xf numFmtId="0" fontId="18" fillId="0" borderId="5" xfId="0" applyFont="1" applyBorder="1" applyAlignment="1" applyProtection="1">
      <alignment horizontal="center" vertical="center"/>
      <protection hidden="1"/>
    </xf>
    <xf numFmtId="0" fontId="18" fillId="0" borderId="6" xfId="0" applyFont="1" applyBorder="1" applyAlignment="1" applyProtection="1">
      <alignment horizontal="center" vertical="center"/>
      <protection hidden="1"/>
    </xf>
    <xf numFmtId="0" fontId="28" fillId="0" borderId="19" xfId="0" applyFont="1" applyBorder="1" applyAlignment="1" applyProtection="1">
      <alignment horizontal="center" vertical="center"/>
      <protection hidden="1"/>
    </xf>
    <xf numFmtId="0" fontId="7" fillId="0" borderId="0" xfId="0" applyFont="1" applyFill="1" applyBorder="1" applyAlignment="1" applyProtection="1">
      <alignment vertical="center" wrapText="1"/>
      <protection hidden="1"/>
    </xf>
    <xf numFmtId="0" fontId="0" fillId="0" borderId="7" xfId="0" applyBorder="1" applyAlignment="1" applyProtection="1">
      <alignment horizontal="center"/>
      <protection hidden="1"/>
    </xf>
    <xf numFmtId="0" fontId="45" fillId="0" borderId="18" xfId="0" applyFont="1" applyBorder="1" applyAlignment="1" applyProtection="1">
      <alignment horizontal="center"/>
      <protection hidden="1"/>
    </xf>
    <xf numFmtId="0" fontId="45" fillId="0" borderId="17" xfId="0" applyFont="1" applyBorder="1" applyAlignment="1" applyProtection="1">
      <alignment horizontal="center"/>
      <protection hidden="1"/>
    </xf>
    <xf numFmtId="0" fontId="0" fillId="0" borderId="9" xfId="0" applyBorder="1" applyAlignment="1" applyProtection="1">
      <alignment horizontal="center"/>
      <protection hidden="1"/>
    </xf>
    <xf numFmtId="0" fontId="31" fillId="28" borderId="4" xfId="0" applyFont="1" applyFill="1" applyBorder="1" applyAlignment="1" applyProtection="1">
      <alignment horizontal="center"/>
      <protection hidden="1"/>
    </xf>
    <xf numFmtId="0" fontId="31" fillId="28" borderId="5" xfId="0" applyFont="1" applyFill="1" applyBorder="1" applyAlignment="1" applyProtection="1">
      <alignment horizontal="center"/>
      <protection hidden="1"/>
    </xf>
    <xf numFmtId="0" fontId="31" fillId="28" borderId="6" xfId="0" applyFont="1" applyFill="1" applyBorder="1" applyAlignment="1" applyProtection="1">
      <alignment horizontal="center"/>
      <protection hidden="1"/>
    </xf>
    <xf numFmtId="0" fontId="30" fillId="28" borderId="7" xfId="0" applyFont="1" applyFill="1" applyBorder="1" applyProtection="1">
      <protection hidden="1"/>
    </xf>
    <xf numFmtId="0" fontId="30" fillId="28" borderId="0" xfId="0" applyFont="1" applyFill="1" applyBorder="1" applyProtection="1">
      <protection hidden="1"/>
    </xf>
    <xf numFmtId="0" fontId="30" fillId="28" borderId="8" xfId="0" applyFont="1" applyFill="1" applyBorder="1" applyProtection="1">
      <protection hidden="1"/>
    </xf>
    <xf numFmtId="0" fontId="31" fillId="28" borderId="7" xfId="0" applyFont="1" applyFill="1" applyBorder="1" applyAlignment="1" applyProtection="1">
      <alignment horizontal="center"/>
      <protection hidden="1"/>
    </xf>
    <xf numFmtId="0" fontId="30" fillId="28" borderId="0" xfId="0" applyFont="1" applyFill="1" applyBorder="1" applyAlignment="1" applyProtection="1">
      <alignment horizontal="center"/>
      <protection hidden="1"/>
    </xf>
    <xf numFmtId="0" fontId="30" fillId="28" borderId="8" xfId="0" applyFont="1" applyFill="1" applyBorder="1" applyAlignment="1" applyProtection="1">
      <alignment horizontal="center"/>
      <protection hidden="1"/>
    </xf>
    <xf numFmtId="0" fontId="31" fillId="28" borderId="9" xfId="0" applyFont="1" applyFill="1" applyBorder="1" applyAlignment="1" applyProtection="1">
      <alignment horizontal="center" vertical="top"/>
      <protection hidden="1"/>
    </xf>
    <xf numFmtId="0" fontId="30" fillId="28" borderId="10" xfId="0" applyFont="1" applyFill="1" applyBorder="1" applyAlignment="1" applyProtection="1">
      <alignment horizontal="center" vertical="top"/>
      <protection hidden="1"/>
    </xf>
    <xf numFmtId="0" fontId="30" fillId="28" borderId="11" xfId="0" applyFont="1" applyFill="1" applyBorder="1" applyAlignment="1" applyProtection="1">
      <alignment horizontal="center" vertical="top"/>
      <protection hidden="1"/>
    </xf>
    <xf numFmtId="0" fontId="18" fillId="20" borderId="16" xfId="0" applyFont="1" applyFill="1" applyBorder="1" applyAlignment="1" applyProtection="1">
      <alignment horizontal="center"/>
      <protection hidden="1"/>
    </xf>
    <xf numFmtId="0" fontId="18" fillId="12" borderId="2" xfId="0" applyFont="1" applyFill="1" applyBorder="1" applyAlignment="1" applyProtection="1">
      <alignment horizontal="center"/>
      <protection hidden="1"/>
    </xf>
    <xf numFmtId="0" fontId="18" fillId="2" borderId="2" xfId="0" applyFont="1" applyFill="1" applyBorder="1" applyAlignment="1" applyProtection="1">
      <alignment horizontal="center"/>
      <protection hidden="1"/>
    </xf>
    <xf numFmtId="0" fontId="18" fillId="20" borderId="3" xfId="0" applyFont="1" applyFill="1" applyBorder="1" applyAlignment="1" applyProtection="1">
      <alignment horizontal="center"/>
      <protection hidden="1"/>
    </xf>
    <xf numFmtId="0" fontId="18" fillId="12" borderId="3" xfId="0" applyFont="1" applyFill="1" applyBorder="1" applyAlignment="1" applyProtection="1">
      <alignment horizontal="center"/>
      <protection hidden="1"/>
    </xf>
    <xf numFmtId="0" fontId="18" fillId="2" borderId="3" xfId="0" applyFont="1" applyFill="1" applyBorder="1" applyAlignment="1" applyProtection="1">
      <alignment horizontal="center"/>
      <protection hidden="1"/>
    </xf>
    <xf numFmtId="0" fontId="0" fillId="21" borderId="0" xfId="0" applyFill="1" applyProtection="1">
      <protection hidden="1"/>
    </xf>
    <xf numFmtId="0" fontId="0" fillId="32" borderId="0" xfId="0" applyFill="1" applyProtection="1">
      <protection hidden="1"/>
    </xf>
    <xf numFmtId="0" fontId="18" fillId="11" borderId="41" xfId="0" applyFont="1" applyFill="1" applyBorder="1" applyAlignment="1" applyProtection="1">
      <alignment horizontal="center"/>
      <protection hidden="1"/>
    </xf>
    <xf numFmtId="0" fontId="18" fillId="11" borderId="42" xfId="0" applyFont="1" applyFill="1" applyBorder="1" applyAlignment="1" applyProtection="1">
      <alignment horizontal="center"/>
      <protection hidden="1"/>
    </xf>
    <xf numFmtId="0" fontId="0" fillId="32" borderId="0" xfId="0" applyFill="1" applyAlignment="1" applyProtection="1">
      <alignment horizontal="center"/>
      <protection hidden="1"/>
    </xf>
    <xf numFmtId="0" fontId="18" fillId="32" borderId="0" xfId="0" applyFont="1" applyFill="1" applyAlignment="1" applyProtection="1">
      <alignment horizontal="center"/>
      <protection hidden="1"/>
    </xf>
    <xf numFmtId="0" fontId="0" fillId="32" borderId="0" xfId="0" applyFill="1" applyBorder="1" applyAlignment="1" applyProtection="1">
      <alignment horizontal="center"/>
      <protection hidden="1"/>
    </xf>
    <xf numFmtId="0" fontId="3" fillId="32" borderId="0" xfId="0" applyFont="1" applyFill="1" applyAlignment="1" applyProtection="1">
      <alignment horizontal="left"/>
      <protection hidden="1"/>
    </xf>
    <xf numFmtId="0" fontId="18" fillId="11" borderId="28" xfId="0" applyFont="1" applyFill="1" applyBorder="1" applyAlignment="1" applyProtection="1">
      <alignment horizontal="center"/>
      <protection hidden="1"/>
    </xf>
    <xf numFmtId="0" fontId="18" fillId="11" borderId="3" xfId="0" applyFont="1" applyFill="1" applyBorder="1" applyAlignment="1" applyProtection="1">
      <alignment horizontal="center"/>
      <protection hidden="1"/>
    </xf>
    <xf numFmtId="0" fontId="18" fillId="11" borderId="24" xfId="0" applyFont="1" applyFill="1" applyBorder="1" applyAlignment="1" applyProtection="1">
      <alignment horizontal="center"/>
      <protection hidden="1"/>
    </xf>
    <xf numFmtId="0" fontId="18" fillId="32" borderId="0" xfId="0" applyFont="1" applyFill="1" applyAlignment="1" applyProtection="1">
      <alignment horizontal="right"/>
      <protection hidden="1"/>
    </xf>
    <xf numFmtId="0" fontId="18" fillId="11" borderId="42" xfId="0" applyFont="1" applyFill="1" applyBorder="1" applyAlignment="1" applyProtection="1">
      <alignment horizontal="center"/>
      <protection locked="0"/>
    </xf>
    <xf numFmtId="0" fontId="18" fillId="11" borderId="43" xfId="0" applyFont="1" applyFill="1" applyBorder="1" applyAlignment="1" applyProtection="1">
      <alignment horizontal="center"/>
      <protection locked="0"/>
    </xf>
    <xf numFmtId="0" fontId="18" fillId="11" borderId="26" xfId="0" applyFont="1" applyFill="1" applyBorder="1" applyAlignment="1" applyProtection="1">
      <alignment horizontal="center"/>
      <protection locked="0"/>
    </xf>
    <xf numFmtId="0" fontId="18" fillId="11" borderId="29" xfId="0" applyFont="1" applyFill="1" applyBorder="1" applyAlignment="1" applyProtection="1">
      <alignment horizontal="center"/>
      <protection locked="0"/>
    </xf>
    <xf numFmtId="0" fontId="18" fillId="11" borderId="30" xfId="0" applyFont="1" applyFill="1" applyBorder="1" applyAlignment="1" applyProtection="1">
      <alignment horizontal="center"/>
      <protection locked="0"/>
    </xf>
    <xf numFmtId="0" fontId="18" fillId="11" borderId="21" xfId="0" applyFont="1" applyFill="1" applyBorder="1" applyAlignment="1" applyProtection="1">
      <alignment horizontal="center"/>
      <protection locked="0"/>
    </xf>
    <xf numFmtId="0" fontId="18" fillId="11" borderId="23" xfId="0" applyFont="1" applyFill="1" applyBorder="1" applyAlignment="1" applyProtection="1">
      <alignment horizontal="center"/>
      <protection locked="0"/>
    </xf>
    <xf numFmtId="0" fontId="18" fillId="11" borderId="22" xfId="0" applyFont="1" applyFill="1" applyBorder="1" applyAlignment="1" applyProtection="1">
      <alignment horizontal="center"/>
      <protection locked="0"/>
    </xf>
    <xf numFmtId="0" fontId="18" fillId="11" borderId="20" xfId="0" applyFont="1" applyFill="1" applyBorder="1" applyAlignment="1" applyProtection="1">
      <alignment horizontal="center"/>
      <protection locked="0"/>
    </xf>
    <xf numFmtId="0" fontId="14" fillId="32" borderId="0" xfId="0" applyFont="1" applyFill="1" applyProtection="1">
      <protection hidden="1"/>
    </xf>
    <xf numFmtId="0" fontId="18" fillId="11" borderId="41" xfId="0" applyFont="1" applyFill="1" applyBorder="1" applyAlignment="1" applyProtection="1">
      <alignment horizontal="center"/>
      <protection locked="0"/>
    </xf>
    <xf numFmtId="0" fontId="18" fillId="11" borderId="25" xfId="0" applyFont="1" applyFill="1" applyBorder="1" applyAlignment="1" applyProtection="1">
      <alignment horizontal="center"/>
      <protection locked="0"/>
    </xf>
    <xf numFmtId="0" fontId="48" fillId="32" borderId="0" xfId="0" applyFont="1" applyFill="1" applyProtection="1">
      <protection hidden="1"/>
    </xf>
    <xf numFmtId="167" fontId="55" fillId="32" borderId="0" xfId="3" applyNumberFormat="1" applyFont="1" applyFill="1" applyAlignment="1" applyProtection="1">
      <alignment horizontal="center" vertical="center"/>
      <protection hidden="1"/>
    </xf>
    <xf numFmtId="0" fontId="75" fillId="21" borderId="0" xfId="0" applyFont="1" applyFill="1" applyAlignment="1" applyProtection="1">
      <alignment horizontal="center"/>
      <protection hidden="1"/>
    </xf>
    <xf numFmtId="0" fontId="3" fillId="14" borderId="0" xfId="0" applyFont="1" applyFill="1" applyBorder="1" applyAlignment="1" applyProtection="1">
      <alignment horizontal="left"/>
      <protection hidden="1"/>
    </xf>
    <xf numFmtId="0" fontId="3" fillId="14" borderId="0" xfId="2" applyNumberFormat="1" applyFont="1" applyFill="1" applyBorder="1" applyAlignment="1" applyProtection="1">
      <alignment horizontal="center"/>
      <protection hidden="1"/>
    </xf>
    <xf numFmtId="0" fontId="19" fillId="2" borderId="28" xfId="0" applyFont="1" applyFill="1" applyBorder="1" applyAlignment="1" applyProtection="1">
      <alignment horizontal="center"/>
      <protection locked="0"/>
    </xf>
    <xf numFmtId="0" fontId="18" fillId="2" borderId="29" xfId="0" applyFont="1" applyFill="1" applyBorder="1" applyAlignment="1" applyProtection="1">
      <alignment horizontal="center"/>
      <protection locked="0"/>
    </xf>
    <xf numFmtId="0" fontId="19" fillId="2" borderId="29" xfId="0" applyFont="1" applyFill="1" applyBorder="1" applyAlignment="1" applyProtection="1">
      <alignment horizontal="center"/>
      <protection locked="0"/>
    </xf>
    <xf numFmtId="0" fontId="19" fillId="2" borderId="30" xfId="0" applyFont="1" applyFill="1" applyBorder="1" applyAlignment="1" applyProtection="1">
      <alignment horizontal="center"/>
      <protection locked="0"/>
    </xf>
    <xf numFmtId="0" fontId="18" fillId="2" borderId="20" xfId="0" applyFont="1" applyFill="1" applyBorder="1" applyAlignment="1" applyProtection="1">
      <alignment horizontal="center"/>
      <protection locked="0"/>
    </xf>
    <xf numFmtId="0" fontId="18" fillId="2" borderId="21" xfId="0" applyFont="1" applyFill="1" applyBorder="1" applyAlignment="1" applyProtection="1">
      <alignment horizontal="center"/>
      <protection locked="0"/>
    </xf>
    <xf numFmtId="0" fontId="19" fillId="2" borderId="20" xfId="0" applyFont="1" applyFill="1" applyBorder="1" applyAlignment="1" applyProtection="1">
      <alignment horizontal="center"/>
      <protection locked="0"/>
    </xf>
    <xf numFmtId="0" fontId="19" fillId="2" borderId="21" xfId="0" applyFont="1" applyFill="1" applyBorder="1" applyAlignment="1" applyProtection="1">
      <alignment horizontal="center"/>
      <protection locked="0"/>
    </xf>
    <xf numFmtId="0" fontId="19" fillId="2" borderId="22" xfId="0" applyFont="1" applyFill="1" applyBorder="1" applyAlignment="1" applyProtection="1">
      <alignment horizontal="center"/>
      <protection locked="0"/>
    </xf>
    <xf numFmtId="0" fontId="18" fillId="2" borderId="23" xfId="0" applyFont="1" applyFill="1" applyBorder="1" applyAlignment="1" applyProtection="1">
      <alignment horizontal="center"/>
      <protection locked="0"/>
    </xf>
    <xf numFmtId="0" fontId="19" fillId="2" borderId="23" xfId="0" applyFont="1" applyFill="1" applyBorder="1" applyAlignment="1" applyProtection="1">
      <alignment horizontal="center"/>
      <protection locked="0"/>
    </xf>
    <xf numFmtId="0" fontId="19" fillId="2" borderId="24" xfId="0" applyFont="1" applyFill="1" applyBorder="1" applyAlignment="1" applyProtection="1">
      <alignment horizontal="center"/>
      <protection locked="0"/>
    </xf>
    <xf numFmtId="0" fontId="91" fillId="14" borderId="7" xfId="0" applyFont="1" applyFill="1" applyBorder="1" applyAlignment="1" applyProtection="1">
      <alignment horizontal="left"/>
      <protection hidden="1"/>
    </xf>
    <xf numFmtId="0" fontId="48" fillId="14" borderId="7" xfId="0" applyFont="1" applyFill="1" applyBorder="1" applyAlignment="1" applyProtection="1">
      <alignment horizontal="left"/>
      <protection hidden="1"/>
    </xf>
    <xf numFmtId="0" fontId="0" fillId="14" borderId="0" xfId="0" applyFill="1" applyBorder="1" applyProtection="1">
      <protection hidden="1"/>
    </xf>
    <xf numFmtId="0" fontId="0" fillId="14" borderId="0" xfId="0" applyFill="1" applyBorder="1" applyAlignment="1" applyProtection="1">
      <protection hidden="1"/>
    </xf>
    <xf numFmtId="0" fontId="3" fillId="14" borderId="0" xfId="0" applyFont="1" applyFill="1" applyBorder="1" applyAlignment="1" applyProtection="1">
      <protection hidden="1"/>
    </xf>
    <xf numFmtId="0" fontId="16" fillId="14" borderId="0" xfId="0" applyFont="1" applyFill="1" applyBorder="1" applyAlignment="1" applyProtection="1">
      <alignment horizontal="right"/>
      <protection hidden="1"/>
    </xf>
    <xf numFmtId="0" fontId="0" fillId="14" borderId="0" xfId="0" applyFill="1" applyBorder="1" applyAlignment="1" applyProtection="1">
      <alignment horizontal="center"/>
      <protection hidden="1"/>
    </xf>
    <xf numFmtId="0" fontId="3" fillId="14" borderId="0" xfId="0" applyFont="1" applyFill="1" applyBorder="1" applyAlignment="1" applyProtection="1">
      <alignment horizontal="center"/>
      <protection hidden="1"/>
    </xf>
    <xf numFmtId="0" fontId="2" fillId="14" borderId="0" xfId="0" applyFont="1" applyFill="1" applyBorder="1" applyAlignment="1" applyProtection="1">
      <protection hidden="1"/>
    </xf>
    <xf numFmtId="0" fontId="92" fillId="14" borderId="0" xfId="0" applyFont="1" applyFill="1" applyBorder="1" applyAlignment="1" applyProtection="1">
      <alignment horizontal="right"/>
      <protection hidden="1"/>
    </xf>
    <xf numFmtId="0" fontId="10" fillId="14" borderId="0" xfId="1" applyFill="1" applyBorder="1" applyAlignment="1" applyProtection="1">
      <alignment horizontal="center"/>
      <protection hidden="1"/>
    </xf>
    <xf numFmtId="0" fontId="0" fillId="30" borderId="0" xfId="0" applyFill="1" applyProtection="1">
      <protection hidden="1"/>
    </xf>
    <xf numFmtId="0" fontId="18" fillId="30" borderId="0" xfId="0" applyFont="1" applyFill="1" applyAlignment="1" applyProtection="1">
      <alignment horizontal="center"/>
      <protection hidden="1"/>
    </xf>
    <xf numFmtId="172" fontId="18" fillId="30" borderId="0" xfId="0" applyNumberFormat="1" applyFont="1" applyFill="1" applyAlignment="1" applyProtection="1">
      <alignment horizontal="center" vertical="center"/>
      <protection hidden="1"/>
    </xf>
    <xf numFmtId="0" fontId="2" fillId="30" borderId="0" xfId="0" applyFont="1" applyFill="1" applyProtection="1">
      <protection hidden="1"/>
    </xf>
    <xf numFmtId="0" fontId="18" fillId="30" borderId="0" xfId="0" applyFont="1" applyFill="1" applyProtection="1">
      <protection locked="0"/>
    </xf>
    <xf numFmtId="0" fontId="18" fillId="30" borderId="0" xfId="0" applyFont="1" applyFill="1" applyAlignment="1" applyProtection="1">
      <alignment horizontal="left"/>
      <protection locked="0"/>
    </xf>
    <xf numFmtId="173" fontId="18" fillId="30" borderId="0" xfId="0" applyNumberFormat="1" applyFont="1" applyFill="1" applyAlignment="1" applyProtection="1">
      <alignment horizontal="left"/>
      <protection locked="0"/>
    </xf>
    <xf numFmtId="0" fontId="3" fillId="30" borderId="0" xfId="0" applyFont="1" applyFill="1" applyAlignment="1" applyProtection="1">
      <alignment horizontal="left"/>
      <protection hidden="1"/>
    </xf>
    <xf numFmtId="173" fontId="3" fillId="30" borderId="0" xfId="0" applyNumberFormat="1" applyFont="1" applyFill="1" applyAlignment="1" applyProtection="1">
      <alignment horizontal="left"/>
      <protection hidden="1"/>
    </xf>
    <xf numFmtId="0" fontId="98" fillId="20" borderId="0" xfId="0" applyFont="1" applyFill="1" applyBorder="1" applyAlignment="1" applyProtection="1">
      <alignment horizontal="center" vertical="center"/>
      <protection locked="0"/>
    </xf>
    <xf numFmtId="0" fontId="75" fillId="12" borderId="0" xfId="0" applyFont="1" applyFill="1" applyAlignment="1" applyProtection="1">
      <alignment horizontal="right"/>
      <protection hidden="1"/>
    </xf>
    <xf numFmtId="168" fontId="75" fillId="12" borderId="0" xfId="3" applyNumberFormat="1" applyFont="1" applyFill="1" applyAlignment="1" applyProtection="1">
      <alignment horizontal="right"/>
      <protection hidden="1"/>
    </xf>
    <xf numFmtId="0" fontId="8" fillId="14" borderId="8" xfId="0" applyFont="1" applyFill="1" applyBorder="1" applyAlignment="1" applyProtection="1">
      <alignment horizontal="left"/>
      <protection hidden="1"/>
    </xf>
    <xf numFmtId="0" fontId="48" fillId="14" borderId="7" xfId="0" applyFont="1" applyFill="1" applyBorder="1" applyAlignment="1" applyProtection="1">
      <alignment horizontal="left" vertical="top"/>
      <protection hidden="1"/>
    </xf>
    <xf numFmtId="0" fontId="48" fillId="14" borderId="7" xfId="0" applyFont="1" applyFill="1" applyBorder="1" applyAlignment="1" applyProtection="1">
      <alignment horizontal="center" vertical="top"/>
      <protection hidden="1"/>
    </xf>
    <xf numFmtId="0" fontId="48" fillId="14" borderId="0" xfId="0" applyFont="1" applyFill="1" applyBorder="1" applyAlignment="1" applyProtection="1">
      <alignment horizontal="center" vertical="top"/>
      <protection hidden="1"/>
    </xf>
    <xf numFmtId="0" fontId="48" fillId="14" borderId="8" xfId="0" applyFont="1" applyFill="1" applyBorder="1" applyAlignment="1" applyProtection="1">
      <alignment horizontal="center" vertical="top"/>
      <protection hidden="1"/>
    </xf>
    <xf numFmtId="0" fontId="15" fillId="14" borderId="31" xfId="0" applyFont="1" applyFill="1" applyBorder="1" applyAlignment="1" applyProtection="1">
      <protection hidden="1"/>
    </xf>
    <xf numFmtId="0" fontId="15" fillId="14" borderId="0" xfId="0" applyFont="1" applyFill="1" applyBorder="1" applyAlignment="1" applyProtection="1">
      <protection hidden="1"/>
    </xf>
    <xf numFmtId="0" fontId="0" fillId="0" borderId="0" xfId="0" applyAlignment="1" applyProtection="1">
      <protection hidden="1"/>
    </xf>
    <xf numFmtId="0" fontId="0" fillId="34" borderId="0" xfId="0" applyFill="1" applyProtection="1">
      <protection hidden="1"/>
    </xf>
    <xf numFmtId="0" fontId="109" fillId="34" borderId="0" xfId="0" applyFont="1" applyFill="1" applyAlignment="1" applyProtection="1">
      <alignment horizontal="center"/>
      <protection hidden="1"/>
    </xf>
    <xf numFmtId="0" fontId="109" fillId="0" borderId="0" xfId="0" applyFont="1" applyAlignment="1" applyProtection="1">
      <alignment horizontal="center"/>
      <protection hidden="1"/>
    </xf>
    <xf numFmtId="0" fontId="75" fillId="14" borderId="0" xfId="0" applyFont="1" applyFill="1" applyBorder="1" applyAlignment="1" applyProtection="1">
      <alignment horizontal="center" vertical="top"/>
      <protection hidden="1"/>
    </xf>
    <xf numFmtId="0" fontId="0" fillId="2" borderId="0" xfId="0" applyFill="1" applyProtection="1">
      <protection hidden="1"/>
    </xf>
    <xf numFmtId="0" fontId="113" fillId="2" borderId="0" xfId="0" applyFont="1" applyFill="1" applyProtection="1">
      <protection hidden="1"/>
    </xf>
    <xf numFmtId="0" fontId="18" fillId="2" borderId="0" xfId="0" applyFont="1" applyFill="1" applyAlignment="1" applyProtection="1">
      <alignment horizontal="center"/>
      <protection hidden="1"/>
    </xf>
    <xf numFmtId="0" fontId="114" fillId="2" borderId="0" xfId="0" applyFont="1" applyFill="1" applyProtection="1">
      <protection hidden="1"/>
    </xf>
    <xf numFmtId="0" fontId="0" fillId="2" borderId="0" xfId="0" applyFill="1" applyAlignment="1" applyProtection="1">
      <protection hidden="1"/>
    </xf>
    <xf numFmtId="175" fontId="0" fillId="2" borderId="0" xfId="0" applyNumberFormat="1" applyFill="1" applyBorder="1" applyProtection="1">
      <protection hidden="1"/>
    </xf>
    <xf numFmtId="0" fontId="121" fillId="2" borderId="0" xfId="0" applyFont="1" applyFill="1" applyAlignment="1" applyProtection="1">
      <alignment horizontal="center"/>
      <protection locked="0"/>
    </xf>
    <xf numFmtId="175" fontId="121" fillId="2" borderId="0" xfId="0" applyNumberFormat="1" applyFont="1" applyFill="1" applyAlignment="1" applyProtection="1">
      <alignment horizontal="center"/>
      <protection locked="0"/>
    </xf>
    <xf numFmtId="0" fontId="85" fillId="2" borderId="0" xfId="0" applyFont="1" applyFill="1" applyAlignment="1" applyProtection="1">
      <alignment horizontal="center"/>
      <protection hidden="1"/>
    </xf>
    <xf numFmtId="0" fontId="122" fillId="2" borderId="0" xfId="0" applyFont="1" applyFill="1" applyAlignment="1" applyProtection="1">
      <alignment horizontal="center"/>
      <protection hidden="1"/>
    </xf>
    <xf numFmtId="175" fontId="0" fillId="2" borderId="2" xfId="0" applyNumberFormat="1" applyFill="1" applyBorder="1" applyAlignment="1" applyProtection="1">
      <alignment horizontal="right"/>
      <protection hidden="1"/>
    </xf>
    <xf numFmtId="0" fontId="3" fillId="2" borderId="3" xfId="2" applyNumberFormat="1" applyFont="1" applyFill="1" applyBorder="1" applyAlignment="1" applyProtection="1">
      <alignment horizontal="center"/>
      <protection locked="0"/>
    </xf>
    <xf numFmtId="0" fontId="123" fillId="30" borderId="0" xfId="0" applyNumberFormat="1" applyFont="1" applyFill="1" applyAlignment="1" applyProtection="1">
      <alignment horizontal="center"/>
      <protection locked="0"/>
    </xf>
    <xf numFmtId="0" fontId="0" fillId="2" borderId="0" xfId="0" applyFill="1" applyAlignment="1" applyProtection="1">
      <alignment horizontal="left"/>
      <protection hidden="1"/>
    </xf>
    <xf numFmtId="0" fontId="18" fillId="20" borderId="16" xfId="0" applyFont="1" applyFill="1" applyBorder="1" applyAlignment="1" applyProtection="1">
      <alignment horizontal="center" vertical="justify" wrapText="1"/>
      <protection hidden="1"/>
    </xf>
    <xf numFmtId="0" fontId="18" fillId="20" borderId="2" xfId="0" applyFont="1" applyFill="1" applyBorder="1" applyAlignment="1" applyProtection="1">
      <alignment horizontal="center" vertical="center"/>
      <protection hidden="1"/>
    </xf>
    <xf numFmtId="0" fontId="18" fillId="2" borderId="16" xfId="0" applyFont="1" applyFill="1" applyBorder="1" applyAlignment="1" applyProtection="1">
      <alignment horizontal="center" vertical="justify" wrapText="1"/>
      <protection hidden="1"/>
    </xf>
    <xf numFmtId="0" fontId="18" fillId="2" borderId="2" xfId="0" applyFont="1" applyFill="1" applyBorder="1" applyAlignment="1" applyProtection="1">
      <alignment horizontal="center" vertical="center"/>
      <protection hidden="1"/>
    </xf>
    <xf numFmtId="0" fontId="59" fillId="0" borderId="0" xfId="0" applyFont="1" applyAlignment="1" applyProtection="1">
      <protection hidden="1"/>
    </xf>
    <xf numFmtId="0" fontId="68" fillId="0" borderId="0" xfId="0" applyFont="1" applyAlignment="1" applyProtection="1">
      <alignment horizontal="right"/>
      <protection hidden="1"/>
    </xf>
    <xf numFmtId="0" fontId="46" fillId="17" borderId="2" xfId="0" applyFont="1" applyFill="1" applyBorder="1" applyAlignment="1" applyProtection="1">
      <alignment horizontal="center"/>
      <protection locked="0"/>
    </xf>
    <xf numFmtId="176" fontId="50" fillId="0" borderId="11" xfId="0" applyNumberFormat="1" applyFont="1" applyBorder="1" applyAlignment="1" applyProtection="1">
      <alignment horizontal="center"/>
      <protection locked="0"/>
    </xf>
    <xf numFmtId="0" fontId="18" fillId="0" borderId="0" xfId="0" applyFont="1" applyBorder="1" applyAlignment="1" applyProtection="1">
      <alignment horizontal="center"/>
      <protection hidden="1"/>
    </xf>
    <xf numFmtId="0" fontId="38" fillId="0" borderId="8" xfId="6" applyFont="1" applyBorder="1" applyAlignment="1" applyProtection="1">
      <protection hidden="1"/>
    </xf>
    <xf numFmtId="0" fontId="3" fillId="16" borderId="8" xfId="0" applyFont="1" applyFill="1" applyBorder="1" applyAlignment="1" applyProtection="1">
      <protection hidden="1"/>
    </xf>
    <xf numFmtId="0" fontId="0" fillId="16" borderId="8" xfId="0" applyFill="1" applyBorder="1" applyAlignment="1" applyProtection="1">
      <protection hidden="1"/>
    </xf>
    <xf numFmtId="0" fontId="0" fillId="16" borderId="8" xfId="0" applyFill="1" applyBorder="1" applyProtection="1">
      <protection hidden="1"/>
    </xf>
    <xf numFmtId="169" fontId="18" fillId="20" borderId="45" xfId="0" applyNumberFormat="1" applyFont="1" applyFill="1" applyBorder="1" applyAlignment="1" applyProtection="1">
      <alignment horizontal="center" vertical="center"/>
      <protection locked="0"/>
    </xf>
    <xf numFmtId="0" fontId="18" fillId="2" borderId="46" xfId="0" applyFont="1" applyFill="1" applyBorder="1" applyAlignment="1" applyProtection="1">
      <alignment horizontal="center" vertical="center"/>
      <protection locked="0"/>
    </xf>
    <xf numFmtId="170" fontId="18" fillId="12" borderId="47" xfId="0" applyNumberFormat="1" applyFont="1" applyFill="1" applyBorder="1" applyAlignment="1" applyProtection="1">
      <alignment horizontal="center" vertical="center"/>
      <protection locked="0"/>
    </xf>
    <xf numFmtId="0" fontId="0" fillId="32" borderId="0" xfId="0" applyFill="1" applyAlignment="1" applyProtection="1">
      <alignment horizontal="center"/>
      <protection hidden="1"/>
    </xf>
    <xf numFmtId="0" fontId="108" fillId="25" borderId="0" xfId="0" applyFont="1" applyFill="1" applyAlignment="1" applyProtection="1">
      <alignment horizontal="left"/>
      <protection locked="0"/>
    </xf>
    <xf numFmtId="0" fontId="130" fillId="34" borderId="0" xfId="0" applyFont="1" applyFill="1" applyAlignment="1" applyProtection="1">
      <alignment horizontal="right"/>
      <protection hidden="1"/>
    </xf>
    <xf numFmtId="0" fontId="85" fillId="17" borderId="0" xfId="0" applyFont="1" applyFill="1" applyAlignment="1" applyProtection="1">
      <alignment vertical="top"/>
      <protection hidden="1"/>
    </xf>
    <xf numFmtId="0" fontId="92" fillId="29" borderId="0" xfId="0" applyFont="1" applyFill="1" applyAlignment="1" applyProtection="1">
      <alignment vertical="top"/>
      <protection hidden="1"/>
    </xf>
    <xf numFmtId="0" fontId="92" fillId="29" borderId="0" xfId="0" applyFont="1" applyFill="1" applyAlignment="1" applyProtection="1">
      <alignment horizontal="right" vertical="center"/>
      <protection hidden="1"/>
    </xf>
    <xf numFmtId="0" fontId="48" fillId="16" borderId="0" xfId="0" applyFont="1" applyFill="1" applyAlignment="1">
      <alignment horizontal="center" vertical="center"/>
    </xf>
    <xf numFmtId="0" fontId="131" fillId="36" borderId="0" xfId="0" applyFont="1" applyFill="1" applyAlignment="1" applyProtection="1">
      <alignment horizontal="center" vertical="center"/>
      <protection locked="0"/>
    </xf>
    <xf numFmtId="0" fontId="0" fillId="15" borderId="0" xfId="0" applyFill="1" applyProtection="1">
      <protection hidden="1"/>
    </xf>
    <xf numFmtId="0" fontId="134" fillId="15" borderId="0" xfId="0" applyFont="1" applyFill="1" applyAlignment="1" applyProtection="1">
      <alignment horizontal="center" vertical="center" wrapText="1"/>
      <protection hidden="1"/>
    </xf>
    <xf numFmtId="0" fontId="102" fillId="17" borderId="0" xfId="1" applyFont="1" applyFill="1" applyAlignment="1" applyProtection="1">
      <alignment horizontal="center"/>
      <protection hidden="1"/>
    </xf>
    <xf numFmtId="0" fontId="138" fillId="0" borderId="0" xfId="0" applyFont="1" applyBorder="1" applyAlignment="1" applyProtection="1">
      <alignment horizontal="left"/>
      <protection hidden="1"/>
    </xf>
    <xf numFmtId="3" fontId="138" fillId="0" borderId="0" xfId="3" applyNumberFormat="1" applyFont="1" applyBorder="1" applyAlignment="1" applyProtection="1">
      <alignment horizontal="left"/>
      <protection hidden="1"/>
    </xf>
    <xf numFmtId="1" fontId="138" fillId="0" borderId="0" xfId="3" applyNumberFormat="1" applyFont="1" applyBorder="1" applyAlignment="1" applyProtection="1">
      <alignment horizontal="left"/>
      <protection hidden="1"/>
    </xf>
    <xf numFmtId="0" fontId="3" fillId="0" borderId="0" xfId="0" applyFont="1" applyBorder="1" applyAlignment="1" applyProtection="1">
      <alignment horizontal="center"/>
      <protection hidden="1"/>
    </xf>
    <xf numFmtId="0" fontId="46" fillId="17" borderId="14" xfId="0" applyFont="1" applyFill="1" applyBorder="1" applyAlignment="1" applyProtection="1">
      <alignment horizontal="center" vertical="center"/>
      <protection hidden="1"/>
    </xf>
    <xf numFmtId="0" fontId="70" fillId="28" borderId="0" xfId="0" applyFont="1" applyFill="1" applyAlignment="1" applyProtection="1">
      <alignment horizontal="center"/>
      <protection locked="0"/>
    </xf>
    <xf numFmtId="0" fontId="22" fillId="12" borderId="0" xfId="0" applyFont="1" applyFill="1" applyAlignment="1" applyProtection="1">
      <alignment horizontal="center" vertical="center"/>
      <protection hidden="1"/>
    </xf>
    <xf numFmtId="0" fontId="106" fillId="12" borderId="0" xfId="0" applyFont="1" applyFill="1" applyAlignment="1" applyProtection="1">
      <alignment horizontal="center" vertical="center"/>
      <protection hidden="1"/>
    </xf>
    <xf numFmtId="173" fontId="70" fillId="28" borderId="0" xfId="0" applyNumberFormat="1" applyFont="1" applyFill="1" applyAlignment="1" applyProtection="1">
      <alignment horizontal="center"/>
      <protection locked="0"/>
    </xf>
    <xf numFmtId="0" fontId="0" fillId="0" borderId="52" xfId="0" applyBorder="1" applyProtection="1">
      <protection hidden="1"/>
    </xf>
    <xf numFmtId="0" fontId="0" fillId="0" borderId="53" xfId="0" applyBorder="1" applyProtection="1">
      <protection hidden="1"/>
    </xf>
    <xf numFmtId="0" fontId="0" fillId="0" borderId="54" xfId="0" applyBorder="1" applyProtection="1">
      <protection hidden="1"/>
    </xf>
    <xf numFmtId="14" fontId="0" fillId="0" borderId="31" xfId="0" applyNumberFormat="1" applyBorder="1" applyProtection="1">
      <protection hidden="1"/>
    </xf>
    <xf numFmtId="0" fontId="0" fillId="0" borderId="32" xfId="0" applyBorder="1" applyProtection="1">
      <protection hidden="1"/>
    </xf>
    <xf numFmtId="0" fontId="0" fillId="0" borderId="31" xfId="0" applyBorder="1" applyProtection="1">
      <protection hidden="1"/>
    </xf>
    <xf numFmtId="0" fontId="0" fillId="37" borderId="0" xfId="0" applyFill="1" applyBorder="1" applyProtection="1">
      <protection hidden="1"/>
    </xf>
    <xf numFmtId="0" fontId="148" fillId="0" borderId="0" xfId="0" applyFont="1"/>
    <xf numFmtId="0" fontId="3" fillId="0" borderId="0" xfId="0" applyFont="1" applyAlignment="1" applyProtection="1">
      <alignment horizontal="center"/>
      <protection hidden="1"/>
    </xf>
    <xf numFmtId="0" fontId="22" fillId="12" borderId="0" xfId="0" applyFont="1" applyFill="1" applyAlignment="1" applyProtection="1">
      <alignment horizontal="justify" vertical="center" wrapText="1"/>
      <protection hidden="1"/>
    </xf>
    <xf numFmtId="178" fontId="0" fillId="0" borderId="0" xfId="3" applyNumberFormat="1" applyFont="1" applyProtection="1">
      <protection hidden="1"/>
    </xf>
    <xf numFmtId="0" fontId="18" fillId="29" borderId="0" xfId="0" applyNumberFormat="1" applyFont="1" applyFill="1" applyAlignment="1" applyProtection="1">
      <alignment horizontal="center" vertical="center"/>
      <protection locked="0"/>
    </xf>
    <xf numFmtId="0" fontId="68" fillId="29" borderId="0" xfId="0" applyFont="1" applyFill="1" applyAlignment="1" applyProtection="1">
      <alignment horizontal="center"/>
      <protection hidden="1"/>
    </xf>
    <xf numFmtId="0" fontId="0" fillId="29" borderId="0" xfId="0" applyFill="1" applyProtection="1">
      <protection hidden="1"/>
    </xf>
    <xf numFmtId="0" fontId="158" fillId="5" borderId="33" xfId="0" applyFont="1" applyFill="1" applyBorder="1" applyAlignment="1" applyProtection="1">
      <alignment horizontal="center" vertical="top" wrapText="1"/>
      <protection hidden="1"/>
    </xf>
    <xf numFmtId="0" fontId="158" fillId="5" borderId="34" xfId="0" applyFont="1" applyFill="1" applyBorder="1" applyAlignment="1" applyProtection="1">
      <alignment horizontal="center" vertical="top" wrapText="1"/>
      <protection hidden="1"/>
    </xf>
    <xf numFmtId="0" fontId="158" fillId="5" borderId="35" xfId="0" applyFont="1" applyFill="1" applyBorder="1" applyAlignment="1" applyProtection="1">
      <alignment horizontal="center" vertical="top" wrapText="1"/>
      <protection hidden="1"/>
    </xf>
    <xf numFmtId="0" fontId="158" fillId="5" borderId="36" xfId="0" applyFont="1" applyFill="1" applyBorder="1" applyAlignment="1" applyProtection="1">
      <alignment horizontal="center" vertical="top" wrapText="1"/>
      <protection hidden="1"/>
    </xf>
    <xf numFmtId="0" fontId="158" fillId="5" borderId="1" xfId="0" applyFont="1" applyFill="1" applyBorder="1" applyAlignment="1" applyProtection="1">
      <alignment horizontal="center" vertical="top" wrapText="1"/>
      <protection hidden="1"/>
    </xf>
    <xf numFmtId="0" fontId="158" fillId="5" borderId="37" xfId="0" applyFont="1" applyFill="1" applyBorder="1" applyAlignment="1" applyProtection="1">
      <alignment horizontal="center" vertical="top" wrapText="1"/>
      <protection hidden="1"/>
    </xf>
    <xf numFmtId="0" fontId="158" fillId="5" borderId="38" xfId="0" applyFont="1" applyFill="1" applyBorder="1" applyAlignment="1" applyProtection="1">
      <alignment horizontal="center" vertical="top" wrapText="1"/>
      <protection hidden="1"/>
    </xf>
    <xf numFmtId="0" fontId="158" fillId="5" borderId="39" xfId="0" applyFont="1" applyFill="1" applyBorder="1" applyAlignment="1" applyProtection="1">
      <alignment horizontal="center" vertical="top" wrapText="1"/>
      <protection hidden="1"/>
    </xf>
    <xf numFmtId="0" fontId="158" fillId="5" borderId="40" xfId="0" applyFont="1" applyFill="1" applyBorder="1" applyAlignment="1" applyProtection="1">
      <alignment horizontal="center" vertical="top" wrapText="1"/>
      <protection hidden="1"/>
    </xf>
    <xf numFmtId="0" fontId="159" fillId="12" borderId="33" xfId="0" applyFont="1" applyFill="1" applyBorder="1" applyAlignment="1" applyProtection="1">
      <alignment horizontal="center" vertical="top" wrapText="1"/>
      <protection hidden="1"/>
    </xf>
    <xf numFmtId="0" fontId="159" fillId="12" borderId="34" xfId="0" applyFont="1" applyFill="1" applyBorder="1" applyAlignment="1" applyProtection="1">
      <alignment horizontal="center" vertical="top" wrapText="1"/>
      <protection hidden="1"/>
    </xf>
    <xf numFmtId="0" fontId="159" fillId="12" borderId="35" xfId="0" applyFont="1" applyFill="1" applyBorder="1" applyAlignment="1" applyProtection="1">
      <alignment horizontal="center" vertical="top" wrapText="1"/>
      <protection hidden="1"/>
    </xf>
    <xf numFmtId="0" fontId="159" fillId="12" borderId="36" xfId="0" applyFont="1" applyFill="1" applyBorder="1" applyAlignment="1" applyProtection="1">
      <alignment horizontal="center" vertical="top" wrapText="1"/>
      <protection hidden="1"/>
    </xf>
    <xf numFmtId="0" fontId="159" fillId="12" borderId="1" xfId="0" applyFont="1" applyFill="1" applyBorder="1" applyAlignment="1" applyProtection="1">
      <alignment horizontal="center" vertical="top" wrapText="1"/>
      <protection hidden="1"/>
    </xf>
    <xf numFmtId="0" fontId="159" fillId="12" borderId="37" xfId="0" applyFont="1" applyFill="1" applyBorder="1" applyAlignment="1" applyProtection="1">
      <alignment horizontal="center" vertical="top" wrapText="1"/>
      <protection hidden="1"/>
    </xf>
    <xf numFmtId="0" fontId="159" fillId="12" borderId="38" xfId="0" applyFont="1" applyFill="1" applyBorder="1" applyAlignment="1" applyProtection="1">
      <alignment horizontal="center" vertical="top" wrapText="1"/>
      <protection hidden="1"/>
    </xf>
    <xf numFmtId="0" fontId="159" fillId="12" borderId="39" xfId="0" applyFont="1" applyFill="1" applyBorder="1" applyAlignment="1" applyProtection="1">
      <alignment horizontal="center" vertical="top" wrapText="1"/>
      <protection hidden="1"/>
    </xf>
    <xf numFmtId="0" fontId="159" fillId="12" borderId="40" xfId="0" applyFont="1" applyFill="1" applyBorder="1" applyAlignment="1" applyProtection="1">
      <alignment horizontal="center" vertical="top" wrapText="1"/>
      <protection hidden="1"/>
    </xf>
    <xf numFmtId="0" fontId="160" fillId="2" borderId="33" xfId="0" applyFont="1" applyFill="1" applyBorder="1" applyAlignment="1" applyProtection="1">
      <alignment horizontal="center" vertical="top" wrapText="1"/>
      <protection hidden="1"/>
    </xf>
    <xf numFmtId="0" fontId="160" fillId="2" borderId="34" xfId="0" applyFont="1" applyFill="1" applyBorder="1" applyAlignment="1" applyProtection="1">
      <alignment horizontal="center" vertical="top" wrapText="1"/>
      <protection hidden="1"/>
    </xf>
    <xf numFmtId="0" fontId="160" fillId="2" borderId="35" xfId="0" applyFont="1" applyFill="1" applyBorder="1" applyAlignment="1" applyProtection="1">
      <alignment horizontal="center" vertical="top" wrapText="1"/>
      <protection hidden="1"/>
    </xf>
    <xf numFmtId="0" fontId="160" fillId="2" borderId="36" xfId="0" applyFont="1" applyFill="1" applyBorder="1" applyAlignment="1" applyProtection="1">
      <alignment horizontal="center" vertical="top" wrapText="1"/>
      <protection hidden="1"/>
    </xf>
    <xf numFmtId="0" fontId="160" fillId="2" borderId="1" xfId="0" applyFont="1" applyFill="1" applyBorder="1" applyAlignment="1" applyProtection="1">
      <alignment horizontal="center" vertical="top" wrapText="1"/>
      <protection hidden="1"/>
    </xf>
    <xf numFmtId="0" fontId="160" fillId="2" borderId="37" xfId="0" applyFont="1" applyFill="1" applyBorder="1" applyAlignment="1" applyProtection="1">
      <alignment horizontal="center" vertical="top" wrapText="1"/>
      <protection hidden="1"/>
    </xf>
    <xf numFmtId="0" fontId="160" fillId="2" borderId="38" xfId="0" applyFont="1" applyFill="1" applyBorder="1" applyAlignment="1" applyProtection="1">
      <alignment horizontal="center" vertical="top" wrapText="1"/>
      <protection hidden="1"/>
    </xf>
    <xf numFmtId="0" fontId="160" fillId="2" borderId="39" xfId="0" applyFont="1" applyFill="1" applyBorder="1" applyAlignment="1" applyProtection="1">
      <alignment horizontal="center" vertical="top" wrapText="1"/>
      <protection hidden="1"/>
    </xf>
    <xf numFmtId="0" fontId="160" fillId="2" borderId="40" xfId="0" applyFont="1" applyFill="1" applyBorder="1" applyAlignment="1" applyProtection="1">
      <alignment horizontal="center" vertical="top" wrapText="1"/>
      <protection hidden="1"/>
    </xf>
    <xf numFmtId="0" fontId="161" fillId="7" borderId="33" xfId="0" applyFont="1" applyFill="1" applyBorder="1" applyAlignment="1" applyProtection="1">
      <alignment horizontal="center" vertical="top" wrapText="1"/>
      <protection hidden="1"/>
    </xf>
    <xf numFmtId="0" fontId="161" fillId="7" borderId="34" xfId="0" applyFont="1" applyFill="1" applyBorder="1" applyAlignment="1" applyProtection="1">
      <alignment horizontal="center" vertical="top" wrapText="1"/>
      <protection hidden="1"/>
    </xf>
    <xf numFmtId="0" fontId="161" fillId="7" borderId="35" xfId="0" applyFont="1" applyFill="1" applyBorder="1" applyAlignment="1" applyProtection="1">
      <alignment horizontal="center" vertical="top" wrapText="1"/>
      <protection hidden="1"/>
    </xf>
    <xf numFmtId="0" fontId="161" fillId="7" borderId="36" xfId="0" applyFont="1" applyFill="1" applyBorder="1" applyAlignment="1" applyProtection="1">
      <alignment horizontal="center" vertical="top" wrapText="1"/>
      <protection hidden="1"/>
    </xf>
    <xf numFmtId="0" fontId="161" fillId="7" borderId="1" xfId="0" applyFont="1" applyFill="1" applyBorder="1" applyAlignment="1" applyProtection="1">
      <alignment horizontal="center" vertical="top" wrapText="1"/>
      <protection hidden="1"/>
    </xf>
    <xf numFmtId="0" fontId="161" fillId="7" borderId="37" xfId="0" applyFont="1" applyFill="1" applyBorder="1" applyAlignment="1" applyProtection="1">
      <alignment horizontal="center" vertical="top" wrapText="1"/>
      <protection hidden="1"/>
    </xf>
    <xf numFmtId="0" fontId="161" fillId="7" borderId="38" xfId="0" applyFont="1" applyFill="1" applyBorder="1" applyAlignment="1" applyProtection="1">
      <alignment horizontal="center" vertical="top" wrapText="1"/>
      <protection hidden="1"/>
    </xf>
    <xf numFmtId="0" fontId="161" fillId="7" borderId="39" xfId="0" applyFont="1" applyFill="1" applyBorder="1" applyAlignment="1" applyProtection="1">
      <alignment horizontal="center" vertical="top" wrapText="1"/>
      <protection hidden="1"/>
    </xf>
    <xf numFmtId="0" fontId="161" fillId="7" borderId="40" xfId="0" applyFont="1" applyFill="1" applyBorder="1" applyAlignment="1" applyProtection="1">
      <alignment horizontal="center" vertical="top" wrapText="1"/>
      <protection hidden="1"/>
    </xf>
    <xf numFmtId="0" fontId="162" fillId="10" borderId="33" xfId="0" applyFont="1" applyFill="1" applyBorder="1" applyAlignment="1" applyProtection="1">
      <alignment horizontal="center" vertical="top" wrapText="1"/>
      <protection hidden="1"/>
    </xf>
    <xf numFmtId="0" fontId="162" fillId="10" borderId="34" xfId="0" applyFont="1" applyFill="1" applyBorder="1" applyAlignment="1" applyProtection="1">
      <alignment horizontal="center" vertical="top" wrapText="1"/>
      <protection hidden="1"/>
    </xf>
    <xf numFmtId="0" fontId="162" fillId="10" borderId="35" xfId="0" applyFont="1" applyFill="1" applyBorder="1" applyAlignment="1" applyProtection="1">
      <alignment horizontal="center" vertical="top" wrapText="1"/>
      <protection hidden="1"/>
    </xf>
    <xf numFmtId="0" fontId="162" fillId="10" borderId="36" xfId="0" applyFont="1" applyFill="1" applyBorder="1" applyAlignment="1" applyProtection="1">
      <alignment horizontal="center" vertical="top" wrapText="1"/>
      <protection hidden="1"/>
    </xf>
    <xf numFmtId="0" fontId="162" fillId="10" borderId="1" xfId="0" applyFont="1" applyFill="1" applyBorder="1" applyAlignment="1" applyProtection="1">
      <alignment horizontal="center" vertical="top" wrapText="1"/>
      <protection hidden="1"/>
    </xf>
    <xf numFmtId="0" fontId="162" fillId="10" borderId="37" xfId="0" applyFont="1" applyFill="1" applyBorder="1" applyAlignment="1" applyProtection="1">
      <alignment horizontal="center" vertical="top" wrapText="1"/>
      <protection hidden="1"/>
    </xf>
    <xf numFmtId="0" fontId="162" fillId="10" borderId="38" xfId="0" applyFont="1" applyFill="1" applyBorder="1" applyAlignment="1" applyProtection="1">
      <alignment horizontal="center" vertical="top" wrapText="1"/>
      <protection hidden="1"/>
    </xf>
    <xf numFmtId="0" fontId="162" fillId="10" borderId="39" xfId="0" applyFont="1" applyFill="1" applyBorder="1" applyAlignment="1" applyProtection="1">
      <alignment horizontal="center" vertical="top" wrapText="1"/>
      <protection hidden="1"/>
    </xf>
    <xf numFmtId="0" fontId="162" fillId="10" borderId="40" xfId="0" applyFont="1" applyFill="1" applyBorder="1" applyAlignment="1" applyProtection="1">
      <alignment horizontal="center" vertical="top" wrapText="1"/>
      <protection hidden="1"/>
    </xf>
    <xf numFmtId="0" fontId="163" fillId="13" borderId="33" xfId="0" applyFont="1" applyFill="1" applyBorder="1" applyAlignment="1" applyProtection="1">
      <alignment horizontal="center" vertical="top" wrapText="1"/>
      <protection hidden="1"/>
    </xf>
    <xf numFmtId="0" fontId="163" fillId="13" borderId="34" xfId="0" applyFont="1" applyFill="1" applyBorder="1" applyAlignment="1" applyProtection="1">
      <alignment horizontal="center" vertical="top" wrapText="1"/>
      <protection hidden="1"/>
    </xf>
    <xf numFmtId="0" fontId="163" fillId="13" borderId="35" xfId="0" applyFont="1" applyFill="1" applyBorder="1" applyAlignment="1" applyProtection="1">
      <alignment horizontal="center" vertical="top" wrapText="1"/>
      <protection hidden="1"/>
    </xf>
    <xf numFmtId="0" fontId="163" fillId="13" borderId="36" xfId="0" applyFont="1" applyFill="1" applyBorder="1" applyAlignment="1" applyProtection="1">
      <alignment horizontal="center" vertical="top" wrapText="1"/>
      <protection hidden="1"/>
    </xf>
    <xf numFmtId="0" fontId="163" fillId="13" borderId="1" xfId="0" applyFont="1" applyFill="1" applyBorder="1" applyAlignment="1" applyProtection="1">
      <alignment horizontal="center" vertical="top" wrapText="1"/>
      <protection hidden="1"/>
    </xf>
    <xf numFmtId="0" fontId="163" fillId="13" borderId="37" xfId="0" applyFont="1" applyFill="1" applyBorder="1" applyAlignment="1" applyProtection="1">
      <alignment horizontal="center" vertical="top" wrapText="1"/>
      <protection hidden="1"/>
    </xf>
    <xf numFmtId="0" fontId="163" fillId="13" borderId="38" xfId="0" applyFont="1" applyFill="1" applyBorder="1" applyAlignment="1" applyProtection="1">
      <alignment horizontal="center" vertical="top" wrapText="1"/>
      <protection hidden="1"/>
    </xf>
    <xf numFmtId="0" fontId="163" fillId="13" borderId="39" xfId="0" applyFont="1" applyFill="1" applyBorder="1" applyAlignment="1" applyProtection="1">
      <alignment horizontal="center" vertical="top" wrapText="1"/>
      <protection hidden="1"/>
    </xf>
    <xf numFmtId="0" fontId="163" fillId="13" borderId="40" xfId="0" applyFont="1" applyFill="1" applyBorder="1" applyAlignment="1" applyProtection="1">
      <alignment horizontal="center" vertical="top" wrapText="1"/>
      <protection hidden="1"/>
    </xf>
    <xf numFmtId="0" fontId="4" fillId="25" borderId="0" xfId="0" applyFont="1" applyFill="1" applyBorder="1" applyAlignment="1" applyProtection="1">
      <alignment horizontal="center" vertical="center"/>
      <protection hidden="1"/>
    </xf>
    <xf numFmtId="0" fontId="167" fillId="2" borderId="0" xfId="0" applyFont="1" applyFill="1" applyBorder="1" applyAlignment="1" applyProtection="1">
      <alignment horizontal="left" vertical="center"/>
      <protection hidden="1"/>
    </xf>
    <xf numFmtId="0" fontId="167" fillId="30" borderId="0" xfId="0" applyFont="1" applyFill="1" applyAlignment="1" applyProtection="1">
      <alignment horizontal="center" vertical="center"/>
      <protection locked="0"/>
    </xf>
    <xf numFmtId="178" fontId="0" fillId="0" borderId="3" xfId="3" applyNumberFormat="1" applyFont="1" applyBorder="1" applyProtection="1">
      <protection hidden="1"/>
    </xf>
    <xf numFmtId="0" fontId="72" fillId="2" borderId="0" xfId="0" applyFont="1" applyFill="1" applyBorder="1" applyAlignment="1" applyProtection="1">
      <alignment horizontal="center" vertical="center"/>
      <protection hidden="1"/>
    </xf>
    <xf numFmtId="0" fontId="0" fillId="0" borderId="0" xfId="0" applyBorder="1" applyAlignment="1" applyProtection="1">
      <alignment vertical="center"/>
      <protection hidden="1"/>
    </xf>
    <xf numFmtId="14" fontId="0" fillId="0" borderId="0" xfId="3" applyNumberFormat="1" applyFont="1" applyProtection="1">
      <protection hidden="1"/>
    </xf>
    <xf numFmtId="0" fontId="49" fillId="0" borderId="0" xfId="0" applyFont="1" applyProtection="1">
      <protection hidden="1"/>
    </xf>
    <xf numFmtId="0" fontId="49" fillId="0" borderId="0" xfId="0" applyFont="1" applyBorder="1" applyAlignment="1" applyProtection="1">
      <alignment vertical="center"/>
      <protection hidden="1"/>
    </xf>
    <xf numFmtId="0" fontId="0" fillId="0" borderId="0" xfId="0" applyAlignment="1" applyProtection="1">
      <alignment vertical="top"/>
      <protection hidden="1"/>
    </xf>
    <xf numFmtId="0" fontId="10" fillId="0" borderId="0" xfId="1" applyAlignment="1" applyProtection="1">
      <alignment vertical="top"/>
      <protection hidden="1"/>
    </xf>
    <xf numFmtId="0" fontId="10" fillId="0" borderId="0" xfId="1" applyAlignment="1" applyProtection="1">
      <protection hidden="1"/>
    </xf>
    <xf numFmtId="0" fontId="170" fillId="25" borderId="0" xfId="0" applyFont="1" applyFill="1" applyAlignment="1" applyProtection="1">
      <alignment horizontal="center" vertical="center"/>
      <protection hidden="1"/>
    </xf>
    <xf numFmtId="0" fontId="69" fillId="25" borderId="0" xfId="0" applyFont="1" applyFill="1" applyAlignment="1" applyProtection="1">
      <alignment horizontal="center" vertical="center"/>
      <protection locked="0"/>
    </xf>
    <xf numFmtId="0" fontId="69" fillId="25" borderId="0" xfId="0" applyFont="1" applyFill="1" applyAlignment="1" applyProtection="1">
      <alignment horizontal="center" vertical="center"/>
      <protection hidden="1"/>
    </xf>
    <xf numFmtId="173" fontId="68" fillId="25" borderId="0" xfId="0" applyNumberFormat="1" applyFont="1" applyFill="1" applyAlignment="1" applyProtection="1">
      <alignment horizontal="center"/>
      <protection locked="0"/>
    </xf>
    <xf numFmtId="0" fontId="174" fillId="17" borderId="0" xfId="1" applyFont="1" applyFill="1" applyAlignment="1" applyProtection="1">
      <alignment horizontal="center"/>
      <protection hidden="1"/>
    </xf>
    <xf numFmtId="0" fontId="72" fillId="20" borderId="0" xfId="0" applyFont="1" applyFill="1" applyBorder="1" applyAlignment="1" applyProtection="1">
      <alignment horizontal="center" vertical="center"/>
      <protection hidden="1"/>
    </xf>
    <xf numFmtId="0" fontId="46" fillId="20" borderId="0" xfId="0" applyFont="1" applyFill="1" applyBorder="1" applyAlignment="1" applyProtection="1">
      <alignment horizontal="left" vertical="center"/>
      <protection hidden="1"/>
    </xf>
    <xf numFmtId="0" fontId="68" fillId="20" borderId="0" xfId="0" applyFont="1" applyFill="1" applyBorder="1" applyAlignment="1" applyProtection="1">
      <alignment horizontal="left" vertical="center"/>
      <protection hidden="1"/>
    </xf>
    <xf numFmtId="0" fontId="155" fillId="20" borderId="0" xfId="0" applyFont="1" applyFill="1" applyBorder="1" applyAlignment="1" applyProtection="1">
      <alignment horizontal="left" vertical="center"/>
      <protection hidden="1"/>
    </xf>
    <xf numFmtId="0" fontId="69" fillId="20" borderId="0" xfId="0" applyFont="1" applyFill="1" applyBorder="1" applyAlignment="1" applyProtection="1">
      <alignment horizontal="left" vertical="center"/>
      <protection hidden="1"/>
    </xf>
    <xf numFmtId="0" fontId="155" fillId="41" borderId="0" xfId="0" applyFont="1" applyFill="1" applyAlignment="1" applyProtection="1">
      <alignment horizontal="center" vertical="center"/>
      <protection locked="0"/>
    </xf>
    <xf numFmtId="0" fontId="179" fillId="0" borderId="0" xfId="0" applyFont="1" applyAlignment="1" applyProtection="1">
      <alignment horizontal="left" vertical="top" wrapText="1"/>
      <protection hidden="1"/>
    </xf>
    <xf numFmtId="0" fontId="181" fillId="16" borderId="0" xfId="0" applyFont="1" applyFill="1" applyAlignment="1" applyProtection="1">
      <alignment horizontal="left" vertical="top" wrapText="1"/>
      <protection hidden="1"/>
    </xf>
    <xf numFmtId="0" fontId="0" fillId="16" borderId="0" xfId="0" applyFill="1" applyBorder="1" applyAlignment="1" applyProtection="1">
      <alignment horizontal="center"/>
      <protection hidden="1"/>
    </xf>
    <xf numFmtId="0" fontId="72" fillId="20" borderId="0" xfId="0" applyFont="1" applyFill="1" applyBorder="1" applyAlignment="1" applyProtection="1">
      <alignment horizontal="center" vertical="center"/>
      <protection hidden="1"/>
    </xf>
    <xf numFmtId="0" fontId="72" fillId="2" borderId="0" xfId="0" applyFont="1" applyFill="1" applyBorder="1" applyAlignment="1" applyProtection="1">
      <alignment horizontal="center" vertical="center"/>
      <protection hidden="1"/>
    </xf>
    <xf numFmtId="0" fontId="75" fillId="14" borderId="0" xfId="0" applyFont="1" applyFill="1" applyBorder="1" applyAlignment="1" applyProtection="1">
      <alignment horizontal="center" vertical="top"/>
      <protection hidden="1"/>
    </xf>
    <xf numFmtId="0" fontId="48" fillId="14" borderId="7" xfId="0" applyFont="1" applyFill="1" applyBorder="1" applyAlignment="1" applyProtection="1">
      <alignment horizontal="left" vertical="top"/>
      <protection hidden="1"/>
    </xf>
    <xf numFmtId="0" fontId="8" fillId="14" borderId="8" xfId="0" applyFont="1" applyFill="1" applyBorder="1" applyAlignment="1" applyProtection="1">
      <alignment horizontal="left"/>
      <protection hidden="1"/>
    </xf>
    <xf numFmtId="0" fontId="187" fillId="10" borderId="0" xfId="0" applyFont="1" applyFill="1" applyBorder="1" applyAlignment="1" applyProtection="1">
      <alignment horizontal="center" vertical="center"/>
      <protection hidden="1"/>
    </xf>
    <xf numFmtId="0" fontId="69" fillId="10" borderId="0" xfId="0" applyFont="1" applyFill="1" applyBorder="1" applyAlignment="1" applyProtection="1">
      <alignment horizontal="left" vertical="center"/>
      <protection hidden="1"/>
    </xf>
    <xf numFmtId="0" fontId="69" fillId="42" borderId="0" xfId="0" applyFont="1" applyFill="1" applyAlignment="1" applyProtection="1">
      <alignment horizontal="center" vertical="center"/>
      <protection locked="0"/>
    </xf>
    <xf numFmtId="0" fontId="5" fillId="15" borderId="0" xfId="0" applyFont="1" applyFill="1" applyProtection="1">
      <protection hidden="1"/>
    </xf>
    <xf numFmtId="0" fontId="190" fillId="15" borderId="0" xfId="0" applyFont="1" applyFill="1" applyAlignment="1" applyProtection="1">
      <alignment horizontal="center" vertical="center"/>
      <protection hidden="1"/>
    </xf>
    <xf numFmtId="0" fontId="61" fillId="25" borderId="0" xfId="0" applyFont="1" applyFill="1" applyAlignment="1" applyProtection="1">
      <alignment horizontal="center" vertical="center"/>
      <protection hidden="1"/>
    </xf>
    <xf numFmtId="0" fontId="191" fillId="12" borderId="0" xfId="0" applyFont="1" applyFill="1" applyAlignment="1" applyProtection="1">
      <alignment horizontal="center" vertical="center"/>
      <protection hidden="1"/>
    </xf>
    <xf numFmtId="169" fontId="152" fillId="26" borderId="0" xfId="0" applyNumberFormat="1" applyFont="1" applyFill="1" applyBorder="1" applyAlignment="1" applyProtection="1">
      <alignment horizontal="center" vertical="center"/>
      <protection locked="0"/>
    </xf>
    <xf numFmtId="0" fontId="197" fillId="50" borderId="0" xfId="0" applyFont="1" applyFill="1" applyAlignment="1" applyProtection="1">
      <alignment horizontal="center" vertical="center"/>
      <protection hidden="1"/>
    </xf>
    <xf numFmtId="0" fontId="198" fillId="2" borderId="0" xfId="0" applyFont="1" applyFill="1" applyAlignment="1" applyProtection="1">
      <alignment horizontal="left" vertical="top" wrapText="1"/>
      <protection locked="0" hidden="1"/>
    </xf>
    <xf numFmtId="0" fontId="136" fillId="29" borderId="0" xfId="0" applyFont="1" applyFill="1" applyAlignment="1" applyProtection="1">
      <alignment horizontal="left" vertical="center" wrapText="1"/>
      <protection hidden="1"/>
    </xf>
    <xf numFmtId="0" fontId="146" fillId="29" borderId="0" xfId="0" applyFont="1" applyFill="1" applyAlignment="1" applyProtection="1">
      <alignment horizontal="left" vertical="center" wrapText="1"/>
      <protection hidden="1"/>
    </xf>
    <xf numFmtId="0" fontId="0" fillId="0" borderId="0" xfId="0" applyAlignment="1">
      <alignment vertical="top"/>
    </xf>
    <xf numFmtId="0" fontId="200" fillId="51" borderId="0" xfId="0" applyFont="1" applyFill="1" applyAlignment="1" applyProtection="1">
      <alignment vertical="center"/>
      <protection hidden="1"/>
    </xf>
    <xf numFmtId="0" fontId="201" fillId="0" borderId="0" xfId="0" applyFont="1" applyAlignment="1" applyProtection="1">
      <alignment vertical="center"/>
      <protection hidden="1"/>
    </xf>
    <xf numFmtId="0" fontId="203" fillId="0" borderId="0" xfId="0" applyFont="1" applyProtection="1">
      <protection hidden="1"/>
    </xf>
    <xf numFmtId="0" fontId="206" fillId="29" borderId="0" xfId="1" applyFont="1" applyFill="1" applyAlignment="1" applyProtection="1">
      <alignment horizontal="center" vertical="center" wrapText="1"/>
      <protection hidden="1"/>
    </xf>
    <xf numFmtId="0" fontId="205" fillId="36" borderId="0" xfId="0" applyFont="1" applyFill="1" applyAlignment="1" applyProtection="1">
      <alignment horizontal="right" vertical="center" wrapText="1"/>
      <protection hidden="1"/>
    </xf>
    <xf numFmtId="0" fontId="209" fillId="54" borderId="0" xfId="0" applyFont="1" applyFill="1" applyAlignment="1" applyProtection="1">
      <alignment horizontal="center" vertical="center"/>
      <protection hidden="1"/>
    </xf>
    <xf numFmtId="0" fontId="208" fillId="29" borderId="0" xfId="1" applyFont="1" applyFill="1" applyAlignment="1" applyProtection="1">
      <alignment vertical="center" wrapText="1"/>
      <protection hidden="1"/>
    </xf>
    <xf numFmtId="0" fontId="212" fillId="17" borderId="0" xfId="0" applyFont="1" applyFill="1" applyAlignment="1">
      <alignment horizontal="center" vertical="center"/>
    </xf>
    <xf numFmtId="0" fontId="63" fillId="22" borderId="0" xfId="0" applyFont="1" applyFill="1" applyAlignment="1" applyProtection="1">
      <alignment horizontal="center" wrapText="1"/>
      <protection hidden="1"/>
    </xf>
    <xf numFmtId="0" fontId="0" fillId="22" borderId="0" xfId="0" applyFill="1" applyAlignment="1">
      <alignment horizontal="center"/>
    </xf>
    <xf numFmtId="0" fontId="0" fillId="0" borderId="0" xfId="0"/>
    <xf numFmtId="0" fontId="89" fillId="17" borderId="0" xfId="0" applyFont="1" applyFill="1" applyAlignment="1" applyProtection="1">
      <alignment horizontal="center" vertical="center" wrapText="1"/>
      <protection hidden="1"/>
    </xf>
    <xf numFmtId="0" fontId="46" fillId="12" borderId="0" xfId="0" applyFont="1" applyFill="1" applyAlignment="1">
      <alignment horizontal="center" vertical="center"/>
    </xf>
    <xf numFmtId="0" fontId="0" fillId="2" borderId="0" xfId="0" applyFill="1"/>
    <xf numFmtId="0" fontId="46" fillId="2" borderId="0" xfId="0" applyFont="1" applyFill="1" applyAlignment="1">
      <alignment horizontal="center" vertical="center"/>
    </xf>
    <xf numFmtId="0" fontId="0" fillId="55" borderId="0" xfId="0" applyFill="1"/>
    <xf numFmtId="0" fontId="46" fillId="55" borderId="0" xfId="0" applyFont="1" applyFill="1" applyAlignment="1">
      <alignment horizontal="center" vertical="center"/>
    </xf>
    <xf numFmtId="0" fontId="0" fillId="12" borderId="0" xfId="0" applyFill="1" applyAlignment="1" applyProtection="1">
      <protection hidden="1"/>
    </xf>
    <xf numFmtId="174" fontId="21" fillId="12" borderId="0" xfId="3" applyNumberFormat="1" applyFont="1" applyFill="1" applyAlignment="1" applyProtection="1">
      <alignment horizontal="center"/>
      <protection locked="0"/>
    </xf>
    <xf numFmtId="0" fontId="21" fillId="12" borderId="0" xfId="0" applyFont="1" applyFill="1" applyAlignment="1" applyProtection="1">
      <alignment horizontal="center"/>
      <protection locked="0"/>
    </xf>
    <xf numFmtId="0" fontId="0" fillId="15" borderId="0" xfId="0" applyFill="1" applyAlignment="1" applyProtection="1">
      <protection hidden="1"/>
    </xf>
    <xf numFmtId="0" fontId="22" fillId="12" borderId="0" xfId="0" applyFont="1" applyFill="1" applyAlignment="1" applyProtection="1">
      <alignment vertical="center" wrapText="1"/>
      <protection hidden="1"/>
    </xf>
    <xf numFmtId="0" fontId="220" fillId="12" borderId="0" xfId="1" applyFont="1" applyFill="1" applyAlignment="1" applyProtection="1">
      <alignment horizontal="justify" vertical="center" wrapText="1"/>
      <protection hidden="1"/>
    </xf>
    <xf numFmtId="0" fontId="221" fillId="12" borderId="0" xfId="0" applyFont="1" applyFill="1" applyAlignment="1" applyProtection="1">
      <alignment horizontal="center" vertical="center" wrapText="1"/>
      <protection hidden="1"/>
    </xf>
    <xf numFmtId="0" fontId="0" fillId="0" borderId="31" xfId="0" applyBorder="1" applyAlignment="1" applyProtection="1">
      <alignment horizontal="center"/>
      <protection hidden="1"/>
    </xf>
    <xf numFmtId="0" fontId="0" fillId="24" borderId="3" xfId="0" applyFill="1" applyBorder="1" applyProtection="1">
      <protection hidden="1"/>
    </xf>
    <xf numFmtId="0" fontId="0" fillId="58" borderId="3" xfId="0" applyFill="1" applyBorder="1" applyProtection="1">
      <protection hidden="1"/>
    </xf>
    <xf numFmtId="0" fontId="169" fillId="58" borderId="3" xfId="0" applyFont="1" applyFill="1" applyBorder="1" applyAlignment="1" applyProtection="1">
      <alignment wrapText="1"/>
      <protection hidden="1"/>
    </xf>
    <xf numFmtId="0" fontId="0" fillId="30" borderId="3" xfId="0" applyFill="1" applyBorder="1" applyProtection="1">
      <protection hidden="1"/>
    </xf>
    <xf numFmtId="0" fontId="0" fillId="22" borderId="52" xfId="0" applyFill="1" applyBorder="1" applyProtection="1">
      <protection hidden="1"/>
    </xf>
    <xf numFmtId="0" fontId="0" fillId="59" borderId="0" xfId="0" applyFill="1"/>
    <xf numFmtId="0" fontId="139" fillId="0" borderId="5" xfId="0" applyFont="1" applyBorder="1" applyAlignment="1" applyProtection="1">
      <alignment horizontal="center" vertical="center" wrapText="1"/>
      <protection hidden="1"/>
    </xf>
    <xf numFmtId="0" fontId="140" fillId="0" borderId="5" xfId="0" applyFont="1" applyBorder="1" applyAlignment="1" applyProtection="1">
      <alignment vertical="center" wrapText="1"/>
      <protection hidden="1"/>
    </xf>
    <xf numFmtId="169" fontId="138" fillId="0" borderId="5" xfId="0" applyNumberFormat="1" applyFont="1" applyBorder="1" applyAlignment="1" applyProtection="1">
      <alignment horizontal="left"/>
      <protection hidden="1"/>
    </xf>
    <xf numFmtId="169" fontId="138" fillId="0" borderId="6" xfId="0" applyNumberFormat="1" applyFont="1" applyBorder="1" applyAlignment="1" applyProtection="1">
      <alignment horizontal="left"/>
      <protection hidden="1"/>
    </xf>
    <xf numFmtId="1" fontId="138" fillId="0" borderId="10" xfId="0" applyNumberFormat="1" applyFont="1" applyBorder="1" applyAlignment="1" applyProtection="1">
      <alignment horizontal="left"/>
      <protection hidden="1"/>
    </xf>
    <xf numFmtId="0" fontId="2" fillId="30" borderId="0" xfId="0" applyFont="1" applyFill="1" applyAlignment="1" applyProtection="1">
      <alignment horizontal="left"/>
      <protection hidden="1"/>
    </xf>
    <xf numFmtId="178" fontId="0" fillId="0" borderId="0" xfId="0" applyNumberFormat="1" applyProtection="1">
      <protection hidden="1"/>
    </xf>
    <xf numFmtId="174" fontId="0" fillId="17" borderId="3" xfId="3" applyNumberFormat="1" applyFont="1" applyFill="1" applyBorder="1" applyProtection="1">
      <protection hidden="1"/>
    </xf>
    <xf numFmtId="0" fontId="226" fillId="37" borderId="53" xfId="0" applyFont="1" applyFill="1" applyBorder="1" applyAlignment="1" applyProtection="1">
      <alignment wrapText="1"/>
      <protection hidden="1"/>
    </xf>
    <xf numFmtId="0" fontId="225" fillId="0" borderId="49" xfId="0" applyFont="1" applyBorder="1" applyProtection="1">
      <protection hidden="1"/>
    </xf>
    <xf numFmtId="0" fontId="225" fillId="0" borderId="50" xfId="0" applyFont="1" applyBorder="1" applyProtection="1">
      <protection hidden="1"/>
    </xf>
    <xf numFmtId="0" fontId="225" fillId="0" borderId="51" xfId="0" applyFont="1" applyBorder="1" applyProtection="1">
      <protection hidden="1"/>
    </xf>
    <xf numFmtId="174" fontId="0" fillId="30" borderId="3" xfId="3" applyNumberFormat="1" applyFont="1" applyFill="1" applyBorder="1" applyProtection="1">
      <protection hidden="1"/>
    </xf>
    <xf numFmtId="2" fontId="0" fillId="37" borderId="0" xfId="3" applyNumberFormat="1" applyFont="1" applyFill="1" applyBorder="1" applyProtection="1">
      <protection hidden="1"/>
    </xf>
    <xf numFmtId="1" fontId="0" fillId="0" borderId="54" xfId="0" applyNumberFormat="1" applyBorder="1" applyProtection="1">
      <protection hidden="1"/>
    </xf>
    <xf numFmtId="0" fontId="131" fillId="3" borderId="0" xfId="0" applyFont="1" applyFill="1" applyAlignment="1" applyProtection="1">
      <alignment horizontal="center" vertical="center"/>
      <protection locked="0"/>
    </xf>
    <xf numFmtId="0" fontId="227" fillId="8" borderId="0" xfId="0" applyFont="1" applyFill="1" applyProtection="1">
      <protection hidden="1"/>
    </xf>
    <xf numFmtId="0" fontId="143" fillId="7" borderId="0" xfId="1" applyFont="1" applyFill="1" applyAlignment="1" applyProtection="1">
      <protection hidden="1"/>
    </xf>
    <xf numFmtId="0" fontId="144" fillId="7" borderId="0" xfId="0" applyFont="1" applyFill="1" applyProtection="1">
      <protection hidden="1"/>
    </xf>
    <xf numFmtId="0" fontId="0" fillId="0" borderId="0" xfId="0" applyFill="1" applyProtection="1">
      <protection hidden="1"/>
    </xf>
    <xf numFmtId="0" fontId="86" fillId="0" borderId="0" xfId="0" applyFont="1" applyFill="1" applyAlignment="1" applyProtection="1">
      <alignment vertical="top"/>
      <protection hidden="1"/>
    </xf>
    <xf numFmtId="0" fontId="67" fillId="0" borderId="0" xfId="1" applyFont="1" applyFill="1" applyAlignment="1" applyProtection="1">
      <alignment horizontal="right"/>
      <protection hidden="1"/>
    </xf>
    <xf numFmtId="14" fontId="135" fillId="0" borderId="0" xfId="0" applyNumberFormat="1" applyFont="1" applyFill="1" applyAlignment="1" applyProtection="1">
      <alignment vertical="center" wrapText="1"/>
      <protection hidden="1"/>
    </xf>
    <xf numFmtId="14" fontId="10" fillId="0" borderId="0" xfId="1" applyNumberFormat="1" applyFill="1" applyAlignment="1" applyProtection="1">
      <alignment vertical="center" wrapText="1"/>
      <protection hidden="1"/>
    </xf>
    <xf numFmtId="0" fontId="0" fillId="0" borderId="0" xfId="0" applyFill="1" applyAlignment="1"/>
    <xf numFmtId="0" fontId="65" fillId="0" borderId="0" xfId="0" applyFont="1" applyFill="1"/>
    <xf numFmtId="0" fontId="66" fillId="0" borderId="0" xfId="0" applyFont="1" applyFill="1"/>
    <xf numFmtId="0" fontId="0" fillId="0" borderId="0" xfId="0" applyFill="1"/>
    <xf numFmtId="0" fontId="10" fillId="0" borderId="0" xfId="1" applyFill="1" applyAlignment="1" applyProtection="1">
      <alignment horizontal="left"/>
      <protection locked="0"/>
    </xf>
    <xf numFmtId="0" fontId="65" fillId="0" borderId="0" xfId="0" applyFont="1" applyFill="1" applyAlignment="1" applyProtection="1">
      <alignment horizontal="left"/>
      <protection locked="0"/>
    </xf>
    <xf numFmtId="0" fontId="65" fillId="0" borderId="0" xfId="0" applyFont="1" applyFill="1" applyProtection="1">
      <protection locked="0"/>
    </xf>
    <xf numFmtId="0" fontId="66" fillId="0" borderId="0" xfId="0" applyFont="1" applyFill="1" applyProtection="1">
      <protection locked="0"/>
    </xf>
    <xf numFmtId="0" fontId="10" fillId="0" borderId="0" xfId="1" applyFill="1" applyAlignment="1" applyProtection="1">
      <protection locked="0"/>
    </xf>
    <xf numFmtId="2" fontId="0" fillId="0" borderId="0" xfId="0" applyNumberFormat="1" applyFill="1"/>
    <xf numFmtId="0" fontId="23" fillId="0" borderId="0" xfId="0" applyFont="1" applyFill="1" applyAlignment="1"/>
    <xf numFmtId="14" fontId="0" fillId="0" borderId="0" xfId="0" applyNumberFormat="1" applyFill="1"/>
    <xf numFmtId="0" fontId="6" fillId="0" borderId="0" xfId="0" applyFont="1" applyFill="1" applyAlignment="1"/>
    <xf numFmtId="0" fontId="138" fillId="12" borderId="0" xfId="0" applyFont="1" applyFill="1" applyProtection="1">
      <protection hidden="1"/>
    </xf>
    <xf numFmtId="0" fontId="138" fillId="12" borderId="0" xfId="0" applyFont="1" applyFill="1" applyAlignment="1" applyProtection="1">
      <protection hidden="1"/>
    </xf>
    <xf numFmtId="0" fontId="15" fillId="0" borderId="0" xfId="0" applyFont="1" applyFill="1" applyAlignment="1" applyProtection="1">
      <protection hidden="1"/>
    </xf>
    <xf numFmtId="0" fontId="9" fillId="0" borderId="0" xfId="0" applyFont="1" applyFill="1" applyBorder="1" applyAlignment="1" applyProtection="1">
      <protection hidden="1"/>
    </xf>
    <xf numFmtId="0" fontId="17" fillId="0" borderId="0" xfId="0" applyFont="1" applyFill="1" applyBorder="1" applyAlignment="1" applyProtection="1">
      <protection hidden="1"/>
    </xf>
    <xf numFmtId="0" fontId="48" fillId="0" borderId="0" xfId="0" applyFont="1" applyFill="1" applyProtection="1">
      <protection hidden="1"/>
    </xf>
    <xf numFmtId="0" fontId="0" fillId="0" borderId="0" xfId="0" applyFill="1" applyAlignment="1" applyProtection="1">
      <protection hidden="1"/>
    </xf>
    <xf numFmtId="0" fontId="55" fillId="10" borderId="0" xfId="0" applyFont="1" applyFill="1" applyAlignment="1" applyProtection="1">
      <alignment vertical="center"/>
      <protection hidden="1"/>
    </xf>
    <xf numFmtId="0" fontId="55" fillId="0" borderId="0" xfId="0" applyFont="1" applyFill="1" applyAlignment="1" applyProtection="1">
      <alignment vertical="center"/>
      <protection hidden="1"/>
    </xf>
    <xf numFmtId="0" fontId="55" fillId="2" borderId="0" xfId="0" applyFont="1" applyFill="1" applyAlignment="1" applyProtection="1">
      <alignment vertical="center"/>
      <protection hidden="1"/>
    </xf>
    <xf numFmtId="0" fontId="0" fillId="0" borderId="0" xfId="0"/>
    <xf numFmtId="0" fontId="0" fillId="0" borderId="0" xfId="0" applyFill="1" applyAlignment="1" applyProtection="1">
      <alignment horizontal="center"/>
      <protection hidden="1"/>
    </xf>
    <xf numFmtId="0" fontId="138" fillId="0" borderId="0" xfId="0" applyFont="1" applyFill="1" applyAlignment="1" applyProtection="1">
      <alignment horizontal="center"/>
      <protection hidden="1"/>
    </xf>
    <xf numFmtId="0" fontId="138" fillId="0" borderId="0" xfId="0" applyFont="1" applyFill="1" applyAlignment="1" applyProtection="1">
      <protection hidden="1"/>
    </xf>
    <xf numFmtId="0" fontId="138" fillId="0" borderId="0" xfId="0" applyFont="1" applyFill="1" applyProtection="1">
      <protection hidden="1"/>
    </xf>
    <xf numFmtId="0" fontId="131" fillId="3" borderId="0" xfId="0" applyFont="1" applyFill="1" applyAlignment="1" applyProtection="1">
      <alignment horizontal="center" vertical="center"/>
      <protection locked="0"/>
    </xf>
    <xf numFmtId="0" fontId="0" fillId="3" borderId="0" xfId="0" applyFill="1" applyProtection="1">
      <protection hidden="1"/>
    </xf>
    <xf numFmtId="0" fontId="55" fillId="0" borderId="0" xfId="0" applyFont="1" applyAlignment="1" applyProtection="1">
      <alignment horizontal="center" vertical="center"/>
      <protection hidden="1"/>
    </xf>
    <xf numFmtId="0" fontId="18" fillId="0" borderId="2" xfId="0" applyFont="1" applyBorder="1" applyAlignment="1" applyProtection="1">
      <alignment horizontal="center" vertical="center"/>
      <protection locked="0"/>
    </xf>
    <xf numFmtId="0" fontId="1" fillId="0" borderId="0" xfId="0" applyFont="1" applyProtection="1">
      <protection hidden="1"/>
    </xf>
    <xf numFmtId="0" fontId="18" fillId="0" borderId="0" xfId="0" applyFont="1" applyAlignment="1" applyProtection="1">
      <alignment horizontal="center" vertical="center"/>
      <protection hidden="1"/>
    </xf>
    <xf numFmtId="0" fontId="18" fillId="0" borderId="0" xfId="0" applyFont="1" applyAlignment="1" applyProtection="1">
      <alignment horizontal="center" vertical="center"/>
      <protection locked="0"/>
    </xf>
    <xf numFmtId="0" fontId="131" fillId="3" borderId="0" xfId="0" applyFont="1" applyFill="1" applyAlignment="1" applyProtection="1">
      <alignment horizontal="center" vertical="center"/>
      <protection locked="0"/>
    </xf>
    <xf numFmtId="169" fontId="240" fillId="63" borderId="0" xfId="0" applyNumberFormat="1" applyFont="1" applyFill="1" applyBorder="1" applyAlignment="1" applyProtection="1">
      <alignment horizontal="center" vertical="center"/>
      <protection locked="0"/>
    </xf>
    <xf numFmtId="169" fontId="243" fillId="63" borderId="0" xfId="0" applyNumberFormat="1" applyFont="1" applyFill="1" applyBorder="1" applyAlignment="1" applyProtection="1">
      <alignment horizontal="center" vertical="center"/>
      <protection locked="0"/>
    </xf>
    <xf numFmtId="169" fontId="242" fillId="26" borderId="0" xfId="0" applyNumberFormat="1" applyFont="1" applyFill="1" applyBorder="1" applyAlignment="1" applyProtection="1">
      <alignment horizontal="center" vertical="center"/>
      <protection locked="0"/>
    </xf>
    <xf numFmtId="180" fontId="0" fillId="0" borderId="31" xfId="0" applyNumberFormat="1" applyBorder="1" applyProtection="1">
      <protection hidden="1"/>
    </xf>
    <xf numFmtId="0" fontId="153" fillId="14" borderId="7" xfId="0" applyFont="1" applyFill="1" applyBorder="1" applyAlignment="1" applyProtection="1">
      <alignment horizontal="left" vertical="top"/>
      <protection hidden="1"/>
    </xf>
    <xf numFmtId="0" fontId="131" fillId="3" borderId="0" xfId="0" applyFont="1" applyFill="1" applyAlignment="1" applyProtection="1">
      <alignment horizontal="center" vertical="center"/>
      <protection locked="0"/>
    </xf>
    <xf numFmtId="0" fontId="234" fillId="9" borderId="6" xfId="6" applyFont="1" applyFill="1" applyBorder="1" applyAlignment="1" applyProtection="1">
      <alignment vertical="center"/>
      <protection hidden="1"/>
    </xf>
    <xf numFmtId="0" fontId="233" fillId="9" borderId="8" xfId="6" applyFont="1" applyFill="1" applyBorder="1" applyAlignment="1" applyProtection="1">
      <alignment vertical="center"/>
      <protection hidden="1"/>
    </xf>
    <xf numFmtId="0" fontId="234" fillId="9" borderId="8" xfId="6" applyFont="1" applyFill="1" applyBorder="1" applyAlignment="1" applyProtection="1">
      <alignment vertical="center"/>
      <protection hidden="1"/>
    </xf>
    <xf numFmtId="0" fontId="233" fillId="9" borderId="11" xfId="6" applyFont="1" applyFill="1" applyBorder="1" applyAlignment="1" applyProtection="1">
      <alignment vertical="center"/>
      <protection hidden="1"/>
    </xf>
    <xf numFmtId="0" fontId="0" fillId="0" borderId="4" xfId="0" applyBorder="1" applyProtection="1">
      <protection hidden="1"/>
    </xf>
    <xf numFmtId="0" fontId="0" fillId="0" borderId="6" xfId="0" applyBorder="1" applyProtection="1">
      <protection hidden="1"/>
    </xf>
    <xf numFmtId="0" fontId="0" fillId="0" borderId="7" xfId="0" applyBorder="1" applyProtection="1">
      <protection hidden="1"/>
    </xf>
    <xf numFmtId="0" fontId="0" fillId="0" borderId="9" xfId="0" applyBorder="1" applyProtection="1">
      <protection hidden="1"/>
    </xf>
    <xf numFmtId="0" fontId="48" fillId="17" borderId="0" xfId="0" applyFont="1" applyFill="1" applyProtection="1">
      <protection hidden="1"/>
    </xf>
    <xf numFmtId="0" fontId="7" fillId="17" borderId="0" xfId="0" applyFont="1" applyFill="1" applyAlignment="1" applyProtection="1">
      <alignment horizontal="center"/>
      <protection hidden="1"/>
    </xf>
    <xf numFmtId="0" fontId="46" fillId="17" borderId="0" xfId="0" applyFont="1" applyFill="1" applyAlignment="1" applyProtection="1">
      <alignment horizontal="center" vertical="center"/>
      <protection locked="0"/>
    </xf>
    <xf numFmtId="0" fontId="18" fillId="0" borderId="0" xfId="0" applyFont="1" applyFill="1" applyAlignment="1" applyProtection="1">
      <alignment horizontal="center" vertical="center"/>
      <protection hidden="1"/>
    </xf>
    <xf numFmtId="0" fontId="0" fillId="0" borderId="0" xfId="0" applyAlignment="1" applyProtection="1">
      <alignment horizontal="center"/>
      <protection hidden="1"/>
    </xf>
    <xf numFmtId="0" fontId="18" fillId="0" borderId="0" xfId="0" applyFont="1" applyAlignment="1" applyProtection="1">
      <alignment horizontal="center" vertical="center"/>
      <protection hidden="1"/>
    </xf>
    <xf numFmtId="0" fontId="246" fillId="17" borderId="0" xfId="0" applyFont="1" applyFill="1" applyAlignment="1" applyProtection="1">
      <alignment horizontal="center" vertical="center"/>
      <protection hidden="1"/>
    </xf>
    <xf numFmtId="0" fontId="28" fillId="0" borderId="0" xfId="0" applyFont="1" applyAlignment="1" applyProtection="1">
      <alignment horizontal="center" vertical="center"/>
      <protection hidden="1"/>
    </xf>
    <xf numFmtId="0" fontId="48" fillId="17" borderId="0" xfId="0" applyFont="1" applyFill="1" applyAlignment="1" applyProtection="1">
      <alignment horizontal="center" vertical="center"/>
      <protection hidden="1"/>
    </xf>
    <xf numFmtId="0" fontId="0" fillId="66" borderId="16" xfId="0" applyFill="1" applyBorder="1" applyAlignment="1" applyProtection="1">
      <alignment horizontal="center"/>
      <protection hidden="1"/>
    </xf>
    <xf numFmtId="0" fontId="0" fillId="66" borderId="15" xfId="0" applyFill="1" applyBorder="1" applyAlignment="1" applyProtection="1">
      <alignment horizontal="center"/>
      <protection hidden="1"/>
    </xf>
    <xf numFmtId="0" fontId="0" fillId="66" borderId="14" xfId="0" applyFill="1" applyBorder="1" applyAlignment="1" applyProtection="1">
      <alignment horizontal="center"/>
      <protection hidden="1"/>
    </xf>
    <xf numFmtId="0" fontId="55" fillId="0" borderId="0" xfId="0" applyFont="1" applyAlignment="1" applyProtection="1">
      <alignment horizontal="center"/>
      <protection hidden="1"/>
    </xf>
    <xf numFmtId="0" fontId="55" fillId="66" borderId="16" xfId="0" applyFont="1" applyFill="1" applyBorder="1" applyAlignment="1" applyProtection="1">
      <alignment horizontal="center"/>
      <protection hidden="1"/>
    </xf>
    <xf numFmtId="0" fontId="0" fillId="0" borderId="16" xfId="0" applyBorder="1" applyAlignment="1" applyProtection="1">
      <alignment horizontal="center"/>
      <protection locked="0"/>
    </xf>
    <xf numFmtId="0" fontId="0" fillId="0" borderId="2" xfId="0" applyBorder="1" applyAlignment="1" applyProtection="1">
      <alignment horizontal="center"/>
      <protection locked="0"/>
    </xf>
    <xf numFmtId="0" fontId="0" fillId="0" borderId="14" xfId="0" applyBorder="1" applyAlignment="1" applyProtection="1">
      <alignment horizontal="center"/>
      <protection locked="0"/>
    </xf>
    <xf numFmtId="0" fontId="48" fillId="17" borderId="0" xfId="0" applyFont="1" applyFill="1" applyAlignment="1" applyProtection="1">
      <alignment horizontal="center" vertical="center"/>
      <protection locked="0"/>
    </xf>
    <xf numFmtId="0" fontId="190" fillId="0" borderId="0" xfId="0" applyFont="1" applyAlignment="1" applyProtection="1">
      <alignment horizontal="center"/>
      <protection hidden="1"/>
    </xf>
    <xf numFmtId="0" fontId="18" fillId="0" borderId="16" xfId="0" applyFont="1" applyBorder="1" applyAlignment="1" applyProtection="1">
      <alignment horizontal="center" vertical="center"/>
      <protection locked="0"/>
    </xf>
    <xf numFmtId="0" fontId="18" fillId="0" borderId="14" xfId="0" applyFont="1" applyBorder="1" applyAlignment="1" applyProtection="1">
      <alignment horizontal="center" vertical="center"/>
      <protection locked="0"/>
    </xf>
    <xf numFmtId="0" fontId="46" fillId="17" borderId="0" xfId="0" applyFont="1" applyFill="1" applyAlignment="1" applyProtection="1">
      <alignment horizontal="center" vertical="center"/>
      <protection hidden="1"/>
    </xf>
    <xf numFmtId="0" fontId="75" fillId="0" borderId="0" xfId="0" applyFont="1" applyAlignment="1" applyProtection="1">
      <alignment horizontal="center"/>
      <protection locked="0"/>
    </xf>
    <xf numFmtId="0" fontId="75" fillId="67" borderId="0" xfId="0" applyFont="1" applyFill="1" applyProtection="1">
      <protection hidden="1"/>
    </xf>
    <xf numFmtId="0" fontId="46" fillId="66" borderId="0" xfId="0" applyFont="1" applyFill="1" applyAlignment="1" applyProtection="1">
      <alignment horizontal="center" vertical="center"/>
      <protection hidden="1"/>
    </xf>
    <xf numFmtId="0" fontId="214" fillId="22" borderId="0" xfId="0" applyFont="1" applyFill="1" applyAlignment="1" applyProtection="1">
      <alignment horizontal="center" wrapText="1"/>
      <protection hidden="1"/>
    </xf>
    <xf numFmtId="0" fontId="62" fillId="23" borderId="0" xfId="0" applyFont="1" applyFill="1" applyAlignment="1" applyProtection="1">
      <alignment horizontal="center" wrapText="1"/>
      <protection hidden="1"/>
    </xf>
    <xf numFmtId="0" fontId="60" fillId="20" borderId="0" xfId="0" applyFont="1" applyFill="1" applyAlignment="1" applyProtection="1">
      <alignment horizontal="left" vertical="top" wrapText="1"/>
      <protection hidden="1"/>
    </xf>
    <xf numFmtId="0" fontId="60" fillId="20" borderId="0" xfId="0" applyFont="1" applyFill="1" applyAlignment="1" applyProtection="1">
      <alignment horizontal="left" vertical="top"/>
      <protection hidden="1"/>
    </xf>
    <xf numFmtId="0" fontId="0" fillId="22" borderId="0" xfId="0" applyFill="1" applyAlignment="1">
      <alignment horizontal="center"/>
    </xf>
    <xf numFmtId="0" fontId="60" fillId="20" borderId="0" xfId="0" applyFont="1" applyFill="1" applyAlignment="1" applyProtection="1">
      <alignment horizontal="left" vertical="center" wrapText="1"/>
      <protection hidden="1"/>
    </xf>
    <xf numFmtId="0" fontId="195" fillId="49" borderId="0" xfId="0" applyFont="1" applyFill="1" applyAlignment="1" applyProtection="1">
      <alignment horizontal="left" vertical="center"/>
      <protection hidden="1"/>
    </xf>
    <xf numFmtId="14" fontId="222" fillId="12" borderId="0" xfId="0" applyNumberFormat="1" applyFont="1" applyFill="1" applyAlignment="1" applyProtection="1">
      <alignment horizontal="center"/>
      <protection hidden="1"/>
    </xf>
    <xf numFmtId="0" fontId="222" fillId="12" borderId="0" xfId="0" applyFont="1" applyFill="1" applyAlignment="1" applyProtection="1">
      <alignment horizontal="center"/>
      <protection hidden="1"/>
    </xf>
    <xf numFmtId="0" fontId="0" fillId="0" borderId="0" xfId="0" applyBorder="1" applyAlignment="1" applyProtection="1">
      <alignment horizontal="center"/>
      <protection hidden="1"/>
    </xf>
    <xf numFmtId="0" fontId="0" fillId="0" borderId="32" xfId="0" applyBorder="1" applyAlignment="1" applyProtection="1">
      <alignment horizontal="center"/>
      <protection hidden="1"/>
    </xf>
    <xf numFmtId="0" fontId="147" fillId="12" borderId="0" xfId="1" applyFont="1" applyFill="1" applyAlignment="1" applyProtection="1">
      <alignment horizontal="center" vertical="center"/>
      <protection hidden="1"/>
    </xf>
    <xf numFmtId="0" fontId="0" fillId="58" borderId="3" xfId="0" applyFill="1" applyBorder="1" applyAlignment="1" applyProtection="1">
      <alignment horizontal="center"/>
      <protection hidden="1"/>
    </xf>
    <xf numFmtId="0" fontId="146" fillId="12" borderId="0" xfId="0" applyFont="1" applyFill="1" applyAlignment="1" applyProtection="1">
      <alignment horizontal="center" wrapText="1"/>
      <protection hidden="1"/>
    </xf>
    <xf numFmtId="0" fontId="124" fillId="12" borderId="0" xfId="0" applyFont="1" applyFill="1" applyAlignment="1" applyProtection="1">
      <alignment horizontal="center" vertical="center" wrapText="1"/>
      <protection hidden="1"/>
    </xf>
    <xf numFmtId="0" fontId="0" fillId="24" borderId="3" xfId="0" applyFill="1" applyBorder="1" applyAlignment="1" applyProtection="1">
      <alignment horizontal="center"/>
      <protection hidden="1"/>
    </xf>
    <xf numFmtId="0" fontId="0" fillId="30" borderId="3" xfId="0" applyFill="1" applyBorder="1" applyAlignment="1" applyProtection="1">
      <alignment horizontal="center" vertical="center"/>
      <protection hidden="1"/>
    </xf>
    <xf numFmtId="0" fontId="0" fillId="0" borderId="49" xfId="0" applyBorder="1" applyAlignment="1" applyProtection="1">
      <alignment horizontal="center"/>
      <protection hidden="1"/>
    </xf>
    <xf numFmtId="0" fontId="0" fillId="0" borderId="50" xfId="0" applyBorder="1" applyAlignment="1" applyProtection="1">
      <alignment horizontal="center"/>
      <protection hidden="1"/>
    </xf>
    <xf numFmtId="0" fontId="0" fillId="0" borderId="51" xfId="0" applyBorder="1" applyAlignment="1" applyProtection="1">
      <alignment horizontal="center"/>
      <protection hidden="1"/>
    </xf>
    <xf numFmtId="0" fontId="217" fillId="53" borderId="0" xfId="0" applyFont="1" applyFill="1" applyAlignment="1">
      <alignment horizontal="center"/>
    </xf>
    <xf numFmtId="0" fontId="0" fillId="39" borderId="0" xfId="0" applyFill="1" applyAlignment="1">
      <alignment horizontal="center"/>
    </xf>
    <xf numFmtId="0" fontId="65" fillId="0" borderId="0" xfId="0" applyFont="1" applyFill="1" applyAlignment="1">
      <alignment horizontal="left"/>
    </xf>
    <xf numFmtId="0" fontId="65" fillId="0" borderId="0" xfId="0" applyFont="1" applyFill="1" applyAlignment="1" applyProtection="1">
      <alignment horizontal="left"/>
      <protection locked="0"/>
    </xf>
    <xf numFmtId="0" fontId="215" fillId="52" borderId="0" xfId="0" applyFont="1" applyFill="1" applyAlignment="1">
      <alignment horizontal="left" vertical="top" wrapText="1"/>
    </xf>
    <xf numFmtId="0" fontId="215" fillId="52" borderId="0" xfId="0" applyFont="1" applyFill="1" applyAlignment="1">
      <alignment horizontal="center" vertical="top" wrapText="1"/>
    </xf>
    <xf numFmtId="177" fontId="194" fillId="48" borderId="0" xfId="0" applyNumberFormat="1" applyFont="1" applyFill="1" applyAlignment="1" applyProtection="1">
      <alignment horizontal="center" vertical="justify" wrapText="1"/>
      <protection locked="0" hidden="1"/>
    </xf>
    <xf numFmtId="0" fontId="193" fillId="60" borderId="0" xfId="1" applyFont="1" applyFill="1" applyAlignment="1" applyProtection="1">
      <alignment horizontal="center" vertical="center" wrapText="1"/>
      <protection locked="0" hidden="1"/>
    </xf>
    <xf numFmtId="0" fontId="142" fillId="7" borderId="0" xfId="0" applyFont="1" applyFill="1" applyAlignment="1" applyProtection="1">
      <alignment horizontal="center"/>
      <protection hidden="1"/>
    </xf>
    <xf numFmtId="14" fontId="199" fillId="3" borderId="0" xfId="0" applyNumberFormat="1" applyFont="1" applyFill="1" applyAlignment="1" applyProtection="1">
      <alignment horizontal="center" vertical="justify" wrapText="1"/>
      <protection hidden="1"/>
    </xf>
    <xf numFmtId="0" fontId="178" fillId="7" borderId="0" xfId="0" applyFont="1" applyFill="1" applyAlignment="1" applyProtection="1">
      <alignment horizontal="center" vertical="center"/>
      <protection hidden="1"/>
    </xf>
    <xf numFmtId="0" fontId="182" fillId="7" borderId="0" xfId="1" applyFont="1" applyFill="1" applyAlignment="1" applyProtection="1">
      <alignment horizontal="center" vertical="center"/>
      <protection hidden="1"/>
    </xf>
    <xf numFmtId="0" fontId="204" fillId="56" borderId="0" xfId="0" applyFont="1" applyFill="1" applyAlignment="1">
      <alignment horizontal="center" vertical="center"/>
    </xf>
    <xf numFmtId="0" fontId="184" fillId="3" borderId="0" xfId="0" applyNumberFormat="1" applyFont="1" applyFill="1" applyAlignment="1" applyProtection="1">
      <alignment horizontal="center"/>
      <protection hidden="1"/>
    </xf>
    <xf numFmtId="2" fontId="141" fillId="7" borderId="0" xfId="0" applyNumberFormat="1" applyFont="1" applyFill="1" applyAlignment="1" applyProtection="1">
      <alignment horizontal="center" vertical="center"/>
      <protection hidden="1"/>
    </xf>
    <xf numFmtId="0" fontId="0" fillId="0" borderId="0" xfId="0"/>
    <xf numFmtId="0" fontId="133" fillId="19" borderId="0" xfId="0" applyFont="1" applyFill="1" applyAlignment="1" applyProtection="1">
      <alignment horizontal="center"/>
      <protection hidden="1"/>
    </xf>
    <xf numFmtId="0" fontId="190" fillId="15" borderId="0" xfId="0" applyFont="1" applyFill="1" applyAlignment="1" applyProtection="1">
      <alignment horizontal="center" vertical="center"/>
      <protection hidden="1"/>
    </xf>
    <xf numFmtId="0" fontId="127" fillId="15" borderId="0" xfId="0" applyFont="1" applyFill="1" applyAlignment="1" applyProtection="1">
      <alignment horizontal="right" vertical="center"/>
      <protection hidden="1"/>
    </xf>
    <xf numFmtId="0" fontId="219" fillId="15" borderId="0" xfId="0" applyFont="1" applyFill="1" applyAlignment="1" applyProtection="1">
      <alignment horizontal="center" wrapText="1"/>
      <protection hidden="1"/>
    </xf>
    <xf numFmtId="0" fontId="25" fillId="21" borderId="0" xfId="0" applyFont="1" applyFill="1" applyBorder="1" applyAlignment="1" applyProtection="1">
      <alignment horizontal="center" vertical="top" wrapText="1"/>
      <protection hidden="1"/>
    </xf>
    <xf numFmtId="0" fontId="0" fillId="21" borderId="0" xfId="0" applyFill="1" applyAlignment="1" applyProtection="1">
      <alignment horizontal="center"/>
      <protection hidden="1"/>
    </xf>
    <xf numFmtId="0" fontId="0" fillId="21" borderId="0" xfId="0" applyFill="1" applyBorder="1" applyAlignment="1" applyProtection="1">
      <alignment horizontal="center"/>
      <protection hidden="1"/>
    </xf>
    <xf numFmtId="0" fontId="153" fillId="33" borderId="12" xfId="0" applyFont="1" applyFill="1" applyBorder="1" applyAlignment="1" applyProtection="1">
      <alignment horizontal="center"/>
      <protection locked="0"/>
    </xf>
    <xf numFmtId="0" fontId="153" fillId="33" borderId="13" xfId="0" applyFont="1" applyFill="1" applyBorder="1" applyAlignment="1" applyProtection="1">
      <alignment horizontal="center"/>
      <protection locked="0"/>
    </xf>
    <xf numFmtId="0" fontId="125" fillId="21" borderId="0" xfId="0" applyFont="1" applyFill="1" applyBorder="1" applyAlignment="1" applyProtection="1">
      <alignment horizontal="center" vertical="center" wrapText="1"/>
      <protection hidden="1"/>
    </xf>
    <xf numFmtId="0" fontId="83" fillId="40" borderId="0" xfId="0" applyFont="1" applyFill="1" applyAlignment="1" applyProtection="1">
      <alignment horizontal="center" wrapText="1"/>
      <protection hidden="1"/>
    </xf>
    <xf numFmtId="0" fontId="0" fillId="21" borderId="31" xfId="0" applyFill="1" applyBorder="1" applyAlignment="1" applyProtection="1">
      <alignment horizontal="center"/>
      <protection hidden="1"/>
    </xf>
    <xf numFmtId="0" fontId="0" fillId="21" borderId="32" xfId="0" applyFill="1" applyBorder="1" applyAlignment="1" applyProtection="1">
      <alignment horizontal="center"/>
      <protection hidden="1"/>
    </xf>
    <xf numFmtId="0" fontId="71" fillId="46" borderId="0" xfId="0" applyFont="1" applyFill="1" applyAlignment="1">
      <alignment horizontal="center" vertical="center"/>
    </xf>
    <xf numFmtId="0" fontId="97" fillId="20" borderId="0" xfId="0" applyFont="1" applyFill="1" applyAlignment="1" applyProtection="1">
      <alignment horizontal="right" vertical="center"/>
      <protection hidden="1"/>
    </xf>
    <xf numFmtId="0" fontId="126" fillId="45" borderId="0" xfId="0" applyFont="1" applyFill="1" applyAlignment="1" applyProtection="1">
      <alignment horizontal="left" vertical="top"/>
      <protection locked="0"/>
    </xf>
    <xf numFmtId="0" fontId="0" fillId="20" borderId="0" xfId="0" applyFill="1" applyAlignment="1" applyProtection="1">
      <alignment horizontal="center"/>
      <protection hidden="1"/>
    </xf>
    <xf numFmtId="0" fontId="0" fillId="20" borderId="0" xfId="0" applyFill="1" applyAlignment="1">
      <alignment horizontal="center"/>
    </xf>
    <xf numFmtId="0" fontId="2" fillId="9" borderId="0" xfId="0" applyFont="1" applyFill="1" applyAlignment="1">
      <alignment horizontal="center" wrapText="1"/>
    </xf>
    <xf numFmtId="0" fontId="5" fillId="20" borderId="0" xfId="0" applyFont="1" applyFill="1" applyAlignment="1" applyProtection="1">
      <alignment horizontal="center" vertical="center"/>
      <protection hidden="1"/>
    </xf>
    <xf numFmtId="0" fontId="24" fillId="20" borderId="0" xfId="0" applyFont="1" applyFill="1" applyAlignment="1">
      <alignment horizontal="center" vertical="center"/>
    </xf>
    <xf numFmtId="0" fontId="152" fillId="26" borderId="0" xfId="0" applyFont="1" applyFill="1" applyAlignment="1" applyProtection="1">
      <alignment horizontal="left" vertical="center"/>
      <protection hidden="1"/>
    </xf>
    <xf numFmtId="0" fontId="145" fillId="64" borderId="0" xfId="0" applyFont="1" applyFill="1" applyAlignment="1" applyProtection="1">
      <alignment horizontal="center"/>
      <protection hidden="1"/>
    </xf>
    <xf numFmtId="0" fontId="152" fillId="26" borderId="0" xfId="0" applyFont="1" applyFill="1" applyBorder="1" applyAlignment="1" applyProtection="1">
      <alignment horizontal="left" vertical="center"/>
      <protection hidden="1"/>
    </xf>
    <xf numFmtId="0" fontId="150" fillId="26" borderId="0" xfId="0" applyFont="1" applyFill="1" applyAlignment="1" applyProtection="1">
      <alignment horizontal="center"/>
      <protection hidden="1"/>
    </xf>
    <xf numFmtId="0" fontId="150" fillId="26" borderId="0" xfId="0" applyFont="1" applyFill="1" applyAlignment="1" applyProtection="1">
      <alignment horizontal="left" vertical="justify" wrapText="1"/>
      <protection hidden="1"/>
    </xf>
    <xf numFmtId="0" fontId="150" fillId="26" borderId="0" xfId="0" applyFont="1" applyFill="1" applyAlignment="1" applyProtection="1">
      <alignment horizontal="left"/>
      <protection hidden="1"/>
    </xf>
    <xf numFmtId="0" fontId="150" fillId="26" borderId="0" xfId="0" applyFont="1" applyFill="1" applyAlignment="1" applyProtection="1">
      <alignment horizontal="right"/>
      <protection hidden="1"/>
    </xf>
    <xf numFmtId="0" fontId="145" fillId="26" borderId="0" xfId="0" applyFont="1" applyFill="1" applyAlignment="1" applyProtection="1">
      <alignment horizontal="center"/>
      <protection hidden="1"/>
    </xf>
    <xf numFmtId="0" fontId="192" fillId="57" borderId="0" xfId="0" applyFont="1" applyFill="1" applyAlignment="1" applyProtection="1">
      <alignment horizontal="center"/>
      <protection hidden="1"/>
    </xf>
    <xf numFmtId="0" fontId="149" fillId="57" borderId="0" xfId="0" applyFont="1" applyFill="1" applyAlignment="1" applyProtection="1">
      <alignment horizontal="center"/>
      <protection hidden="1"/>
    </xf>
    <xf numFmtId="0" fontId="151" fillId="26" borderId="0" xfId="0" applyFont="1" applyFill="1" applyAlignment="1" applyProtection="1">
      <alignment horizontal="center"/>
      <protection hidden="1"/>
    </xf>
    <xf numFmtId="0" fontId="241" fillId="26" borderId="0" xfId="0" applyFont="1" applyFill="1" applyAlignment="1" applyProtection="1">
      <alignment horizontal="center" vertical="center"/>
      <protection hidden="1"/>
    </xf>
    <xf numFmtId="0" fontId="218" fillId="26" borderId="0" xfId="0" applyFont="1" applyFill="1" applyAlignment="1" applyProtection="1">
      <alignment horizontal="center"/>
      <protection hidden="1"/>
    </xf>
    <xf numFmtId="0" fontId="31" fillId="12" borderId="0" xfId="0" applyFont="1" applyFill="1" applyAlignment="1" applyProtection="1">
      <alignment horizontal="left"/>
      <protection hidden="1"/>
    </xf>
    <xf numFmtId="0" fontId="29" fillId="12" borderId="0" xfId="0" applyFont="1" applyFill="1" applyAlignment="1" applyProtection="1">
      <alignment horizontal="left"/>
      <protection hidden="1"/>
    </xf>
    <xf numFmtId="0" fontId="82" fillId="3" borderId="0" xfId="0" applyFont="1" applyFill="1" applyAlignment="1" applyProtection="1">
      <alignment horizontal="center" vertical="center"/>
      <protection hidden="1"/>
    </xf>
    <xf numFmtId="0" fontId="26" fillId="12" borderId="0" xfId="0" applyFont="1" applyFill="1" applyAlignment="1" applyProtection="1">
      <alignment horizontal="left"/>
      <protection hidden="1"/>
    </xf>
    <xf numFmtId="0" fontId="0" fillId="54" borderId="0" xfId="0" applyFill="1" applyAlignment="1">
      <alignment horizontal="center"/>
    </xf>
    <xf numFmtId="0" fontId="30" fillId="12" borderId="0" xfId="0" applyFont="1" applyFill="1" applyAlignment="1" applyProtection="1">
      <alignment horizontal="center"/>
      <protection hidden="1"/>
    </xf>
    <xf numFmtId="0" fontId="22" fillId="12" borderId="0" xfId="0" applyFont="1" applyFill="1" applyAlignment="1" applyProtection="1">
      <alignment horizontal="left" vertical="center" wrapText="1"/>
      <protection hidden="1"/>
    </xf>
    <xf numFmtId="164" fontId="7" fillId="12" borderId="0" xfId="0" applyNumberFormat="1" applyFont="1" applyFill="1" applyAlignment="1" applyProtection="1">
      <alignment horizontal="center" vertical="center" wrapText="1"/>
      <protection hidden="1"/>
    </xf>
    <xf numFmtId="0" fontId="103" fillId="12" borderId="0" xfId="0" applyFont="1" applyFill="1" applyAlignment="1" applyProtection="1">
      <alignment horizontal="center" vertical="center"/>
      <protection hidden="1"/>
    </xf>
    <xf numFmtId="164" fontId="104" fillId="12" borderId="0" xfId="3" applyFont="1" applyFill="1" applyAlignment="1" applyProtection="1">
      <alignment horizontal="center" vertical="center"/>
      <protection hidden="1"/>
    </xf>
    <xf numFmtId="0" fontId="48" fillId="12" borderId="0" xfId="0" applyFont="1" applyFill="1" applyAlignment="1">
      <alignment horizontal="center"/>
    </xf>
    <xf numFmtId="0" fontId="0" fillId="12" borderId="0" xfId="0" applyFill="1" applyAlignment="1" applyProtection="1">
      <alignment horizontal="center"/>
      <protection hidden="1"/>
    </xf>
    <xf numFmtId="0" fontId="22" fillId="12" borderId="0" xfId="0" applyFont="1" applyFill="1" applyAlignment="1" applyProtection="1">
      <alignment horizontal="center"/>
      <protection hidden="1"/>
    </xf>
    <xf numFmtId="0" fontId="48" fillId="14" borderId="7" xfId="0" applyFont="1" applyFill="1" applyBorder="1" applyAlignment="1" applyProtection="1">
      <alignment horizontal="left" vertical="top"/>
      <protection hidden="1"/>
    </xf>
    <xf numFmtId="0" fontId="2" fillId="14" borderId="0" xfId="0" applyFont="1" applyFill="1" applyBorder="1" applyAlignment="1" applyProtection="1">
      <alignment horizontal="left"/>
      <protection hidden="1"/>
    </xf>
    <xf numFmtId="0" fontId="2" fillId="14" borderId="8" xfId="0" applyFont="1" applyFill="1" applyBorder="1" applyAlignment="1" applyProtection="1">
      <alignment horizontal="left"/>
      <protection hidden="1"/>
    </xf>
    <xf numFmtId="0" fontId="3" fillId="14" borderId="0" xfId="0" applyFont="1" applyFill="1" applyBorder="1" applyAlignment="1" applyProtection="1">
      <alignment horizontal="left"/>
      <protection hidden="1"/>
    </xf>
    <xf numFmtId="0" fontId="13" fillId="14" borderId="31" xfId="0" applyFont="1" applyFill="1" applyBorder="1" applyAlignment="1" applyProtection="1">
      <alignment horizontal="left"/>
      <protection hidden="1"/>
    </xf>
    <xf numFmtId="0" fontId="13" fillId="14" borderId="0" xfId="0" applyFont="1" applyFill="1" applyBorder="1" applyAlignment="1" applyProtection="1">
      <alignment horizontal="left"/>
      <protection hidden="1"/>
    </xf>
    <xf numFmtId="0" fontId="13" fillId="14" borderId="8" xfId="0" applyFont="1" applyFill="1" applyBorder="1" applyAlignment="1" applyProtection="1">
      <alignment horizontal="left"/>
      <protection hidden="1"/>
    </xf>
    <xf numFmtId="0" fontId="75" fillId="14" borderId="0" xfId="0" applyFont="1" applyFill="1" applyBorder="1" applyAlignment="1" applyProtection="1">
      <alignment horizontal="left" vertical="top"/>
      <protection hidden="1"/>
    </xf>
    <xf numFmtId="0" fontId="2" fillId="14" borderId="0" xfId="0" applyFont="1" applyFill="1" applyBorder="1" applyAlignment="1" applyProtection="1">
      <alignment horizontal="center"/>
      <protection hidden="1"/>
    </xf>
    <xf numFmtId="0" fontId="2" fillId="14" borderId="8" xfId="0" applyFont="1" applyFill="1" applyBorder="1" applyAlignment="1" applyProtection="1">
      <alignment horizontal="center"/>
      <protection hidden="1"/>
    </xf>
    <xf numFmtId="0" fontId="75" fillId="14" borderId="0" xfId="0" applyFont="1" applyFill="1" applyBorder="1" applyAlignment="1" applyProtection="1">
      <alignment vertical="top"/>
      <protection hidden="1"/>
    </xf>
    <xf numFmtId="0" fontId="75" fillId="14" borderId="0" xfId="0" applyFont="1" applyFill="1" applyBorder="1" applyAlignment="1" applyProtection="1">
      <alignment horizontal="center" vertical="top"/>
      <protection hidden="1"/>
    </xf>
    <xf numFmtId="0" fontId="48" fillId="14" borderId="7" xfId="0" applyFont="1" applyFill="1" applyBorder="1" applyAlignment="1" applyProtection="1">
      <alignment horizontal="center" vertical="top"/>
      <protection hidden="1"/>
    </xf>
    <xf numFmtId="0" fontId="48" fillId="14" borderId="0" xfId="0" applyFont="1" applyFill="1" applyBorder="1" applyAlignment="1" applyProtection="1">
      <alignment horizontal="center" vertical="top"/>
      <protection hidden="1"/>
    </xf>
    <xf numFmtId="0" fontId="48" fillId="14" borderId="8" xfId="0" applyFont="1" applyFill="1" applyBorder="1" applyAlignment="1" applyProtection="1">
      <alignment horizontal="center" vertical="top"/>
      <protection hidden="1"/>
    </xf>
    <xf numFmtId="0" fontId="48" fillId="14" borderId="7" xfId="0" applyFont="1" applyFill="1" applyBorder="1" applyAlignment="1" applyProtection="1">
      <alignment horizontal="center"/>
      <protection hidden="1"/>
    </xf>
    <xf numFmtId="0" fontId="48" fillId="14" borderId="0" xfId="0" applyFont="1" applyFill="1" applyBorder="1" applyAlignment="1" applyProtection="1">
      <alignment horizontal="center"/>
      <protection hidden="1"/>
    </xf>
    <xf numFmtId="0" fontId="48" fillId="14" borderId="8" xfId="0" applyFont="1" applyFill="1" applyBorder="1" applyAlignment="1" applyProtection="1">
      <alignment horizontal="center"/>
      <protection hidden="1"/>
    </xf>
    <xf numFmtId="0" fontId="7" fillId="14" borderId="0" xfId="0" applyFont="1" applyFill="1" applyBorder="1" applyAlignment="1" applyProtection="1">
      <alignment horizontal="left"/>
      <protection hidden="1"/>
    </xf>
    <xf numFmtId="0" fontId="7" fillId="14" borderId="8" xfId="0" applyFont="1" applyFill="1" applyBorder="1" applyAlignment="1" applyProtection="1">
      <alignment horizontal="left"/>
      <protection hidden="1"/>
    </xf>
    <xf numFmtId="0" fontId="0" fillId="14" borderId="0" xfId="0" applyFill="1" applyBorder="1" applyAlignment="1" applyProtection="1">
      <alignment horizontal="center"/>
      <protection hidden="1"/>
    </xf>
    <xf numFmtId="0" fontId="0" fillId="14" borderId="8" xfId="0" applyFill="1" applyBorder="1" applyAlignment="1" applyProtection="1">
      <alignment horizontal="center"/>
      <protection hidden="1"/>
    </xf>
    <xf numFmtId="0" fontId="92" fillId="14" borderId="0" xfId="0" applyFont="1" applyFill="1" applyBorder="1" applyAlignment="1" applyProtection="1">
      <alignment horizontal="center"/>
      <protection hidden="1"/>
    </xf>
    <xf numFmtId="0" fontId="0" fillId="14" borderId="7" xfId="0" applyFill="1" applyBorder="1" applyAlignment="1" applyProtection="1">
      <alignment horizontal="center" vertical="center"/>
      <protection hidden="1"/>
    </xf>
    <xf numFmtId="0" fontId="0" fillId="14" borderId="0" xfId="0" applyFill="1" applyBorder="1" applyAlignment="1" applyProtection="1">
      <alignment horizontal="center" vertical="center"/>
      <protection hidden="1"/>
    </xf>
    <xf numFmtId="0" fontId="0" fillId="14" borderId="8" xfId="0" applyFill="1" applyBorder="1" applyAlignment="1" applyProtection="1">
      <alignment horizontal="center" vertical="center"/>
      <protection hidden="1"/>
    </xf>
    <xf numFmtId="0" fontId="15" fillId="14" borderId="0" xfId="0" applyFont="1" applyFill="1" applyBorder="1" applyAlignment="1" applyProtection="1">
      <alignment horizontal="left"/>
      <protection hidden="1"/>
    </xf>
    <xf numFmtId="0" fontId="92" fillId="14" borderId="0" xfId="0" applyFont="1" applyFill="1" applyBorder="1" applyAlignment="1" applyProtection="1">
      <alignment horizontal="right"/>
      <protection hidden="1"/>
    </xf>
    <xf numFmtId="0" fontId="85" fillId="14" borderId="0" xfId="0" applyFont="1" applyFill="1" applyBorder="1" applyAlignment="1" applyProtection="1">
      <alignment horizontal="left"/>
      <protection hidden="1"/>
    </xf>
    <xf numFmtId="0" fontId="85" fillId="14" borderId="8" xfId="0" applyFont="1" applyFill="1" applyBorder="1" applyAlignment="1" applyProtection="1">
      <alignment horizontal="left"/>
      <protection hidden="1"/>
    </xf>
    <xf numFmtId="0" fontId="3" fillId="14" borderId="32" xfId="0" applyFont="1" applyFill="1" applyBorder="1" applyAlignment="1" applyProtection="1">
      <alignment horizontal="left"/>
      <protection hidden="1"/>
    </xf>
    <xf numFmtId="0" fontId="111" fillId="14" borderId="0" xfId="0" applyFont="1" applyFill="1" applyBorder="1" applyAlignment="1" applyProtection="1">
      <alignment horizontal="left" vertical="top"/>
      <protection hidden="1"/>
    </xf>
    <xf numFmtId="0" fontId="92" fillId="14" borderId="8" xfId="0" applyFont="1" applyFill="1" applyBorder="1" applyAlignment="1" applyProtection="1">
      <alignment horizontal="right"/>
      <protection hidden="1"/>
    </xf>
    <xf numFmtId="0" fontId="92" fillId="14" borderId="0" xfId="0" applyFont="1" applyFill="1" applyBorder="1" applyAlignment="1" applyProtection="1">
      <alignment horizontal="left"/>
      <protection hidden="1"/>
    </xf>
    <xf numFmtId="0" fontId="92" fillId="14" borderId="8" xfId="0" applyFont="1" applyFill="1" applyBorder="1" applyAlignment="1" applyProtection="1">
      <alignment horizontal="left"/>
      <protection hidden="1"/>
    </xf>
    <xf numFmtId="0" fontId="93" fillId="14" borderId="0" xfId="0" applyFont="1" applyFill="1" applyBorder="1" applyAlignment="1" applyProtection="1">
      <alignment horizontal="center" vertical="justify" wrapText="1"/>
      <protection hidden="1"/>
    </xf>
    <xf numFmtId="0" fontId="17" fillId="14" borderId="0" xfId="0" applyFont="1" applyFill="1" applyBorder="1" applyAlignment="1" applyProtection="1">
      <alignment horizontal="center"/>
      <protection hidden="1"/>
    </xf>
    <xf numFmtId="0" fontId="9" fillId="14" borderId="0" xfId="0" applyFont="1" applyFill="1" applyBorder="1" applyAlignment="1" applyProtection="1">
      <alignment horizontal="left"/>
      <protection hidden="1"/>
    </xf>
    <xf numFmtId="0" fontId="9" fillId="14" borderId="8" xfId="0" applyFont="1" applyFill="1" applyBorder="1" applyAlignment="1" applyProtection="1">
      <alignment horizontal="left"/>
      <protection hidden="1"/>
    </xf>
    <xf numFmtId="0" fontId="3" fillId="14" borderId="0" xfId="0" applyFont="1" applyFill="1" applyBorder="1" applyAlignment="1" applyProtection="1">
      <alignment horizontal="right"/>
      <protection hidden="1"/>
    </xf>
    <xf numFmtId="0" fontId="3" fillId="14" borderId="32" xfId="0" applyFont="1" applyFill="1" applyBorder="1" applyAlignment="1" applyProtection="1">
      <alignment horizontal="right"/>
      <protection hidden="1"/>
    </xf>
    <xf numFmtId="0" fontId="3" fillId="14" borderId="8" xfId="0" applyFont="1" applyFill="1" applyBorder="1" applyAlignment="1" applyProtection="1">
      <alignment horizontal="left"/>
      <protection hidden="1"/>
    </xf>
    <xf numFmtId="0" fontId="17" fillId="14" borderId="7" xfId="0" applyFont="1" applyFill="1" applyBorder="1" applyAlignment="1" applyProtection="1">
      <alignment horizontal="right"/>
      <protection hidden="1"/>
    </xf>
    <xf numFmtId="0" fontId="17" fillId="14" borderId="0" xfId="0" applyFont="1" applyFill="1" applyBorder="1" applyAlignment="1" applyProtection="1">
      <alignment horizontal="right"/>
      <protection hidden="1"/>
    </xf>
    <xf numFmtId="0" fontId="7" fillId="14" borderId="0" xfId="0" applyFont="1" applyFill="1" applyBorder="1" applyAlignment="1" applyProtection="1">
      <alignment horizontal="center"/>
      <protection hidden="1"/>
    </xf>
    <xf numFmtId="0" fontId="7" fillId="14" borderId="8" xfId="0" applyFont="1" applyFill="1" applyBorder="1" applyAlignment="1" applyProtection="1">
      <alignment horizontal="center"/>
      <protection hidden="1"/>
    </xf>
    <xf numFmtId="0" fontId="7" fillId="14" borderId="32" xfId="0" applyFont="1" applyFill="1" applyBorder="1" applyAlignment="1" applyProtection="1">
      <alignment horizontal="left"/>
      <protection hidden="1"/>
    </xf>
    <xf numFmtId="0" fontId="9" fillId="14" borderId="0" xfId="0" applyFont="1" applyFill="1" applyBorder="1" applyAlignment="1" applyProtection="1">
      <alignment horizontal="center"/>
      <protection hidden="1"/>
    </xf>
    <xf numFmtId="0" fontId="12" fillId="14" borderId="0" xfId="0" applyFont="1" applyFill="1" applyBorder="1" applyAlignment="1" applyProtection="1">
      <alignment horizontal="right"/>
      <protection hidden="1"/>
    </xf>
    <xf numFmtId="0" fontId="0" fillId="14" borderId="0" xfId="0" applyFill="1" applyBorder="1" applyAlignment="1" applyProtection="1">
      <alignment horizontal="left"/>
      <protection hidden="1"/>
    </xf>
    <xf numFmtId="0" fontId="0" fillId="14" borderId="8" xfId="0" applyFill="1" applyBorder="1" applyAlignment="1" applyProtection="1">
      <alignment horizontal="left"/>
      <protection hidden="1"/>
    </xf>
    <xf numFmtId="0" fontId="15" fillId="14" borderId="0" xfId="0" applyFont="1" applyFill="1" applyBorder="1" applyAlignment="1" applyProtection="1">
      <alignment horizontal="center"/>
      <protection hidden="1"/>
    </xf>
    <xf numFmtId="0" fontId="15" fillId="14" borderId="32" xfId="0" applyFont="1" applyFill="1" applyBorder="1" applyAlignment="1" applyProtection="1">
      <alignment horizontal="center"/>
      <protection hidden="1"/>
    </xf>
    <xf numFmtId="0" fontId="3" fillId="14" borderId="0" xfId="0" applyFont="1" applyFill="1" applyBorder="1" applyAlignment="1" applyProtection="1">
      <alignment horizontal="center"/>
      <protection hidden="1"/>
    </xf>
    <xf numFmtId="0" fontId="85" fillId="14" borderId="0" xfId="0" applyFont="1" applyFill="1" applyBorder="1" applyAlignment="1" applyProtection="1">
      <alignment horizontal="center"/>
      <protection hidden="1"/>
    </xf>
    <xf numFmtId="0" fontId="92" fillId="14" borderId="8" xfId="0" applyFont="1" applyFill="1" applyBorder="1" applyAlignment="1" applyProtection="1">
      <alignment horizontal="center"/>
      <protection hidden="1"/>
    </xf>
    <xf numFmtId="0" fontId="8" fillId="14" borderId="0" xfId="0" applyFont="1" applyFill="1" applyBorder="1" applyAlignment="1" applyProtection="1">
      <alignment horizontal="left"/>
      <protection hidden="1"/>
    </xf>
    <xf numFmtId="0" fontId="8" fillId="14" borderId="8" xfId="0" applyFont="1" applyFill="1" applyBorder="1" applyAlignment="1" applyProtection="1">
      <alignment horizontal="left"/>
      <protection hidden="1"/>
    </xf>
    <xf numFmtId="0" fontId="0" fillId="14" borderId="31" xfId="0" applyFill="1" applyBorder="1" applyAlignment="1" applyProtection="1">
      <alignment horizontal="center"/>
      <protection hidden="1"/>
    </xf>
    <xf numFmtId="0" fontId="102" fillId="19" borderId="4" xfId="1" applyFont="1" applyFill="1" applyBorder="1" applyAlignment="1" applyProtection="1">
      <alignment horizontal="center" vertical="center"/>
      <protection hidden="1"/>
    </xf>
    <xf numFmtId="0" fontId="102" fillId="19" borderId="5" xfId="1" applyFont="1" applyFill="1" applyBorder="1" applyAlignment="1" applyProtection="1">
      <alignment horizontal="center" vertical="center"/>
      <protection hidden="1"/>
    </xf>
    <xf numFmtId="0" fontId="102" fillId="19" borderId="6" xfId="1" applyFont="1" applyFill="1" applyBorder="1" applyAlignment="1" applyProtection="1">
      <alignment horizontal="center" vertical="center"/>
      <protection hidden="1"/>
    </xf>
    <xf numFmtId="0" fontId="102" fillId="19" borderId="7" xfId="1" applyFont="1" applyFill="1" applyBorder="1" applyAlignment="1" applyProtection="1">
      <alignment horizontal="center" vertical="center"/>
      <protection hidden="1"/>
    </xf>
    <xf numFmtId="0" fontId="102" fillId="19" borderId="0" xfId="1" applyFont="1" applyFill="1" applyBorder="1" applyAlignment="1" applyProtection="1">
      <alignment horizontal="center" vertical="center"/>
      <protection hidden="1"/>
    </xf>
    <xf numFmtId="0" fontId="102" fillId="19" borderId="8" xfId="1" applyFont="1" applyFill="1" applyBorder="1" applyAlignment="1" applyProtection="1">
      <alignment horizontal="center" vertical="center"/>
      <protection hidden="1"/>
    </xf>
    <xf numFmtId="0" fontId="128" fillId="14" borderId="0" xfId="0" applyFont="1" applyFill="1" applyBorder="1" applyAlignment="1" applyProtection="1">
      <alignment horizontal="left"/>
      <protection hidden="1"/>
    </xf>
    <xf numFmtId="0" fontId="128" fillId="14" borderId="8" xfId="0" applyFont="1" applyFill="1" applyBorder="1" applyAlignment="1" applyProtection="1">
      <alignment horizontal="left"/>
      <protection hidden="1"/>
    </xf>
    <xf numFmtId="0" fontId="8" fillId="14" borderId="31" xfId="0" applyFont="1" applyFill="1" applyBorder="1" applyAlignment="1" applyProtection="1">
      <alignment horizontal="left"/>
      <protection hidden="1"/>
    </xf>
    <xf numFmtId="0" fontId="0" fillId="14" borderId="44" xfId="0" applyFill="1" applyBorder="1" applyAlignment="1" applyProtection="1">
      <alignment horizontal="center"/>
      <protection hidden="1"/>
    </xf>
    <xf numFmtId="0" fontId="153" fillId="14" borderId="7" xfId="0" applyFont="1" applyFill="1" applyBorder="1" applyAlignment="1" applyProtection="1">
      <alignment horizontal="left"/>
      <protection hidden="1"/>
    </xf>
    <xf numFmtId="0" fontId="153" fillId="14" borderId="0" xfId="0" applyFont="1" applyFill="1" applyBorder="1" applyAlignment="1" applyProtection="1">
      <alignment horizontal="left"/>
      <protection hidden="1"/>
    </xf>
    <xf numFmtId="179" fontId="183" fillId="29" borderId="15" xfId="0" applyNumberFormat="1" applyFont="1" applyFill="1" applyBorder="1" applyAlignment="1" applyProtection="1">
      <alignment horizontal="left" vertical="center"/>
      <protection hidden="1"/>
    </xf>
    <xf numFmtId="0" fontId="3" fillId="2" borderId="3" xfId="0" applyFont="1" applyFill="1" applyBorder="1" applyAlignment="1" applyProtection="1">
      <alignment horizontal="center"/>
      <protection hidden="1"/>
    </xf>
    <xf numFmtId="0" fontId="117" fillId="2" borderId="0" xfId="0" applyFont="1" applyFill="1" applyAlignment="1" applyProtection="1">
      <alignment horizontal="right"/>
      <protection hidden="1"/>
    </xf>
    <xf numFmtId="0" fontId="118" fillId="2" borderId="0" xfId="0" applyFont="1" applyFill="1" applyAlignment="1" applyProtection="1">
      <alignment horizontal="center" vertical="center"/>
      <protection hidden="1"/>
    </xf>
    <xf numFmtId="0" fontId="117" fillId="2" borderId="0" xfId="0" applyFont="1" applyFill="1" applyAlignment="1" applyProtection="1">
      <alignment horizontal="center"/>
      <protection hidden="1"/>
    </xf>
    <xf numFmtId="0" fontId="0" fillId="2" borderId="0" xfId="0" applyFill="1" applyAlignment="1" applyProtection="1">
      <alignment horizontal="center"/>
      <protection hidden="1"/>
    </xf>
    <xf numFmtId="0" fontId="112" fillId="2" borderId="0" xfId="0" applyFont="1" applyFill="1" applyAlignment="1" applyProtection="1">
      <alignment horizontal="left"/>
      <protection hidden="1"/>
    </xf>
    <xf numFmtId="0" fontId="114" fillId="2" borderId="0" xfId="0" applyFont="1" applyFill="1" applyAlignment="1" applyProtection="1">
      <alignment horizontal="left"/>
      <protection hidden="1"/>
    </xf>
    <xf numFmtId="0" fontId="85" fillId="2" borderId="0" xfId="0" applyFont="1" applyFill="1" applyAlignment="1" applyProtection="1">
      <alignment horizontal="center" vertical="center" wrapText="1" shrinkToFit="1"/>
      <protection hidden="1"/>
    </xf>
    <xf numFmtId="0" fontId="20" fillId="2" borderId="16" xfId="0" applyFont="1" applyFill="1" applyBorder="1" applyAlignment="1" applyProtection="1">
      <alignment horizontal="center"/>
      <protection hidden="1"/>
    </xf>
    <xf numFmtId="0" fontId="20" fillId="2" borderId="15" xfId="0" applyFont="1" applyFill="1" applyBorder="1" applyAlignment="1" applyProtection="1">
      <alignment horizontal="center"/>
      <protection hidden="1"/>
    </xf>
    <xf numFmtId="0" fontId="117" fillId="2" borderId="0" xfId="0" applyFont="1" applyFill="1" applyAlignment="1" applyProtection="1">
      <alignment horizontal="left"/>
      <protection hidden="1"/>
    </xf>
    <xf numFmtId="0" fontId="0" fillId="2" borderId="0" xfId="0" applyFill="1" applyAlignment="1" applyProtection="1">
      <alignment horizontal="left"/>
      <protection hidden="1"/>
    </xf>
    <xf numFmtId="0" fontId="120" fillId="2" borderId="0" xfId="0" applyFont="1" applyFill="1" applyAlignment="1" applyProtection="1">
      <alignment horizontal="left"/>
      <protection hidden="1"/>
    </xf>
    <xf numFmtId="0" fontId="116" fillId="19" borderId="0" xfId="0" applyFont="1" applyFill="1" applyAlignment="1" applyProtection="1">
      <alignment horizontal="center" vertical="center"/>
      <protection hidden="1"/>
    </xf>
    <xf numFmtId="0" fontId="92" fillId="29" borderId="0" xfId="0" applyFont="1" applyFill="1" applyAlignment="1" applyProtection="1">
      <alignment horizontal="center" vertical="center"/>
      <protection hidden="1"/>
    </xf>
    <xf numFmtId="0" fontId="107" fillId="22" borderId="0" xfId="0" applyFont="1" applyFill="1" applyAlignment="1" applyProtection="1">
      <alignment horizontal="center" vertical="center"/>
      <protection hidden="1"/>
    </xf>
    <xf numFmtId="0" fontId="85" fillId="34" borderId="0" xfId="0" applyFont="1" applyFill="1" applyAlignment="1" applyProtection="1">
      <alignment horizontal="center"/>
      <protection hidden="1"/>
    </xf>
    <xf numFmtId="0" fontId="0" fillId="34" borderId="0" xfId="0" applyFill="1" applyAlignment="1" applyProtection="1">
      <alignment horizontal="center"/>
      <protection hidden="1"/>
    </xf>
    <xf numFmtId="0" fontId="124" fillId="34" borderId="0" xfId="0" applyFont="1" applyFill="1" applyAlignment="1" applyProtection="1">
      <alignment horizontal="center"/>
      <protection hidden="1"/>
    </xf>
    <xf numFmtId="0" fontId="110" fillId="34" borderId="0" xfId="0" applyFont="1" applyFill="1" applyAlignment="1" applyProtection="1">
      <alignment horizontal="center"/>
      <protection hidden="1"/>
    </xf>
    <xf numFmtId="0" fontId="92" fillId="29" borderId="0" xfId="0" applyFont="1" applyFill="1" applyAlignment="1" applyProtection="1">
      <alignment horizontal="center" vertical="top"/>
      <protection hidden="1"/>
    </xf>
    <xf numFmtId="0" fontId="89" fillId="34" borderId="0" xfId="0" applyFont="1" applyFill="1" applyAlignment="1" applyProtection="1">
      <alignment horizontal="center"/>
      <protection hidden="1"/>
    </xf>
    <xf numFmtId="0" fontId="0" fillId="32" borderId="0" xfId="0" applyFill="1" applyAlignment="1" applyProtection="1">
      <alignment horizontal="center"/>
      <protection hidden="1"/>
    </xf>
    <xf numFmtId="0" fontId="86" fillId="32" borderId="0" xfId="0" applyFont="1" applyFill="1" applyAlignment="1" applyProtection="1">
      <alignment horizontal="left"/>
      <protection hidden="1"/>
    </xf>
    <xf numFmtId="0" fontId="85" fillId="32" borderId="7" xfId="0" applyFont="1" applyFill="1" applyBorder="1" applyAlignment="1" applyProtection="1">
      <alignment horizontal="center"/>
      <protection hidden="1"/>
    </xf>
    <xf numFmtId="0" fontId="85" fillId="32" borderId="0" xfId="0" applyFont="1" applyFill="1" applyAlignment="1" applyProtection="1">
      <alignment horizontal="center"/>
      <protection hidden="1"/>
    </xf>
    <xf numFmtId="0" fontId="85" fillId="32" borderId="0" xfId="0" applyFont="1" applyFill="1" applyAlignment="1" applyProtection="1">
      <alignment horizontal="center" vertical="center" wrapText="1"/>
      <protection hidden="1"/>
    </xf>
    <xf numFmtId="167" fontId="75" fillId="32" borderId="0" xfId="3" applyNumberFormat="1" applyFont="1" applyFill="1" applyAlignment="1" applyProtection="1">
      <alignment horizontal="center"/>
      <protection locked="0"/>
    </xf>
    <xf numFmtId="0" fontId="3" fillId="32" borderId="0" xfId="0" applyFont="1" applyFill="1" applyAlignment="1" applyProtection="1">
      <alignment horizontal="left"/>
      <protection hidden="1"/>
    </xf>
    <xf numFmtId="0" fontId="90" fillId="33" borderId="0" xfId="0" applyFont="1" applyFill="1" applyAlignment="1" applyProtection="1">
      <alignment horizontal="center" vertical="center"/>
      <protection hidden="1"/>
    </xf>
    <xf numFmtId="0" fontId="84" fillId="32" borderId="0" xfId="0" applyFont="1" applyFill="1" applyAlignment="1" applyProtection="1">
      <alignment horizontal="center"/>
      <protection hidden="1"/>
    </xf>
    <xf numFmtId="167" fontId="55" fillId="32" borderId="0" xfId="3" applyNumberFormat="1" applyFont="1" applyFill="1" applyAlignment="1" applyProtection="1">
      <alignment horizontal="center" vertical="center"/>
      <protection locked="0"/>
    </xf>
    <xf numFmtId="0" fontId="131" fillId="3" borderId="0" xfId="0" applyFont="1" applyFill="1" applyAlignment="1" applyProtection="1">
      <alignment horizontal="center" vertical="center"/>
      <protection locked="0"/>
    </xf>
    <xf numFmtId="0" fontId="20" fillId="32" borderId="0" xfId="0" applyFont="1" applyFill="1" applyAlignment="1" applyProtection="1">
      <alignment horizontal="center"/>
      <protection hidden="1"/>
    </xf>
    <xf numFmtId="0" fontId="75" fillId="32" borderId="0" xfId="0" applyFont="1" applyFill="1" applyAlignment="1" applyProtection="1">
      <alignment horizontal="center"/>
      <protection hidden="1"/>
    </xf>
    <xf numFmtId="0" fontId="14" fillId="32" borderId="0" xfId="0" applyFont="1" applyFill="1" applyAlignment="1" applyProtection="1">
      <alignment horizontal="center"/>
      <protection hidden="1"/>
    </xf>
    <xf numFmtId="0" fontId="35" fillId="9" borderId="6" xfId="6" applyFont="1" applyFill="1" applyBorder="1" applyAlignment="1" applyProtection="1">
      <alignment horizontal="left" vertical="center"/>
      <protection hidden="1"/>
    </xf>
    <xf numFmtId="0" fontId="35" fillId="9" borderId="8" xfId="6" applyFont="1" applyFill="1" applyBorder="1" applyAlignment="1" applyProtection="1">
      <alignment horizontal="left" vertical="center"/>
      <protection hidden="1"/>
    </xf>
    <xf numFmtId="0" fontId="4" fillId="9" borderId="4" xfId="0" applyFont="1" applyFill="1" applyBorder="1" applyAlignment="1" applyProtection="1">
      <alignment horizontal="center" vertical="center"/>
      <protection hidden="1"/>
    </xf>
    <xf numFmtId="0" fontId="4" fillId="9" borderId="7" xfId="0" applyFont="1" applyFill="1" applyBorder="1" applyAlignment="1" applyProtection="1">
      <alignment horizontal="center" vertical="center"/>
      <protection hidden="1"/>
    </xf>
    <xf numFmtId="0" fontId="4" fillId="9" borderId="9" xfId="0" applyFont="1" applyFill="1" applyBorder="1" applyAlignment="1" applyProtection="1">
      <alignment horizontal="center" vertical="center"/>
      <protection hidden="1"/>
    </xf>
    <xf numFmtId="0" fontId="35" fillId="9" borderId="11" xfId="6" applyFont="1" applyFill="1" applyBorder="1" applyAlignment="1" applyProtection="1">
      <alignment horizontal="left" vertical="center"/>
      <protection hidden="1"/>
    </xf>
    <xf numFmtId="0" fontId="77" fillId="15" borderId="4" xfId="0" applyFont="1" applyFill="1" applyBorder="1" applyAlignment="1" applyProtection="1">
      <alignment horizontal="center" vertical="center" wrapText="1"/>
      <protection hidden="1"/>
    </xf>
    <xf numFmtId="0" fontId="77" fillId="15" borderId="6" xfId="0" applyFont="1" applyFill="1" applyBorder="1" applyAlignment="1" applyProtection="1">
      <alignment horizontal="center" vertical="center" wrapText="1"/>
      <protection hidden="1"/>
    </xf>
    <xf numFmtId="0" fontId="77" fillId="15" borderId="7" xfId="0" applyFont="1" applyFill="1" applyBorder="1" applyAlignment="1" applyProtection="1">
      <alignment horizontal="center" vertical="center" wrapText="1"/>
      <protection hidden="1"/>
    </xf>
    <xf numFmtId="0" fontId="77" fillId="15" borderId="8" xfId="0" applyFont="1" applyFill="1" applyBorder="1" applyAlignment="1" applyProtection="1">
      <alignment horizontal="center" vertical="center" wrapText="1"/>
      <protection hidden="1"/>
    </xf>
    <xf numFmtId="0" fontId="77" fillId="15" borderId="9" xfId="0" applyFont="1" applyFill="1" applyBorder="1" applyAlignment="1" applyProtection="1">
      <alignment horizontal="center" vertical="center" wrapText="1"/>
      <protection hidden="1"/>
    </xf>
    <xf numFmtId="0" fontId="77" fillId="15" borderId="11" xfId="0" applyFont="1" applyFill="1" applyBorder="1" applyAlignment="1" applyProtection="1">
      <alignment horizontal="center" vertical="center" wrapText="1"/>
      <protection hidden="1"/>
    </xf>
    <xf numFmtId="0" fontId="34" fillId="0" borderId="9" xfId="6" applyBorder="1" applyAlignment="1" applyProtection="1">
      <alignment horizontal="center"/>
      <protection hidden="1"/>
    </xf>
    <xf numFmtId="0" fontId="34" fillId="0" borderId="10" xfId="6" applyBorder="1" applyAlignment="1" applyProtection="1">
      <alignment horizontal="center"/>
      <protection hidden="1"/>
    </xf>
    <xf numFmtId="0" fontId="34" fillId="0" borderId="11" xfId="6" applyBorder="1" applyAlignment="1" applyProtection="1">
      <alignment horizontal="center"/>
      <protection hidden="1"/>
    </xf>
    <xf numFmtId="0" fontId="38" fillId="0" borderId="7" xfId="6" applyFont="1" applyBorder="1" applyAlignment="1" applyProtection="1">
      <alignment horizontal="center"/>
      <protection hidden="1"/>
    </xf>
    <xf numFmtId="0" fontId="38" fillId="0" borderId="0" xfId="6" applyFont="1" applyBorder="1" applyAlignment="1" applyProtection="1">
      <alignment horizontal="center"/>
      <protection hidden="1"/>
    </xf>
    <xf numFmtId="0" fontId="38" fillId="0" borderId="8" xfId="6" applyFont="1" applyBorder="1" applyAlignment="1" applyProtection="1">
      <alignment horizontal="center"/>
      <protection hidden="1"/>
    </xf>
    <xf numFmtId="0" fontId="38" fillId="0" borderId="7" xfId="6" applyFont="1" applyBorder="1" applyAlignment="1" applyProtection="1">
      <alignment horizontal="left"/>
      <protection hidden="1"/>
    </xf>
    <xf numFmtId="0" fontId="38" fillId="0" borderId="0" xfId="6" applyFont="1" applyBorder="1" applyAlignment="1" applyProtection="1">
      <alignment horizontal="left"/>
      <protection hidden="1"/>
    </xf>
    <xf numFmtId="0" fontId="38" fillId="0" borderId="8" xfId="6" applyFont="1" applyBorder="1" applyAlignment="1" applyProtection="1">
      <alignment horizontal="left"/>
      <protection hidden="1"/>
    </xf>
    <xf numFmtId="0" fontId="0" fillId="16" borderId="7" xfId="0" applyFill="1" applyBorder="1" applyAlignment="1" applyProtection="1">
      <alignment horizontal="center"/>
      <protection hidden="1"/>
    </xf>
    <xf numFmtId="0" fontId="0" fillId="16" borderId="0" xfId="0" applyFill="1" applyBorder="1" applyAlignment="1" applyProtection="1">
      <alignment horizontal="center"/>
      <protection hidden="1"/>
    </xf>
    <xf numFmtId="0" fontId="0" fillId="16" borderId="8" xfId="0" applyFill="1" applyBorder="1" applyAlignment="1" applyProtection="1">
      <alignment horizontal="center"/>
      <protection hidden="1"/>
    </xf>
    <xf numFmtId="0" fontId="37" fillId="16" borderId="7" xfId="0" applyFont="1" applyFill="1" applyBorder="1" applyAlignment="1" applyProtection="1">
      <alignment horizontal="center"/>
      <protection hidden="1"/>
    </xf>
    <xf numFmtId="0" fontId="37" fillId="16" borderId="0" xfId="0" applyFont="1" applyFill="1" applyBorder="1" applyAlignment="1" applyProtection="1">
      <alignment horizontal="center"/>
      <protection hidden="1"/>
    </xf>
    <xf numFmtId="0" fontId="37" fillId="16" borderId="8" xfId="0" applyFont="1" applyFill="1" applyBorder="1" applyAlignment="1" applyProtection="1">
      <alignment horizontal="center"/>
      <protection hidden="1"/>
    </xf>
    <xf numFmtId="0" fontId="39" fillId="0" borderId="7" xfId="6" applyFont="1" applyBorder="1" applyAlignment="1" applyProtection="1">
      <alignment horizontal="center"/>
      <protection hidden="1"/>
    </xf>
    <xf numFmtId="0" fontId="39" fillId="0" borderId="0" xfId="6" applyFont="1" applyBorder="1" applyAlignment="1" applyProtection="1">
      <alignment horizontal="center"/>
      <protection hidden="1"/>
    </xf>
    <xf numFmtId="0" fontId="39" fillId="0" borderId="8" xfId="6" applyFont="1" applyBorder="1" applyAlignment="1" applyProtection="1">
      <alignment horizontal="center"/>
      <protection hidden="1"/>
    </xf>
    <xf numFmtId="0" fontId="185" fillId="0" borderId="0" xfId="0" applyFont="1" applyAlignment="1" applyProtection="1">
      <alignment horizontal="center"/>
      <protection hidden="1"/>
    </xf>
    <xf numFmtId="0" fontId="44" fillId="18" borderId="4" xfId="0" applyFont="1" applyFill="1" applyBorder="1" applyAlignment="1" applyProtection="1">
      <alignment horizontal="center" vertical="center"/>
      <protection hidden="1"/>
    </xf>
    <xf numFmtId="0" fontId="44" fillId="18" borderId="5" xfId="0" applyFont="1" applyFill="1" applyBorder="1" applyAlignment="1" applyProtection="1">
      <alignment horizontal="center" vertical="center"/>
      <protection hidden="1"/>
    </xf>
    <xf numFmtId="0" fontId="44" fillId="18" borderId="6" xfId="0" applyFont="1" applyFill="1" applyBorder="1" applyAlignment="1" applyProtection="1">
      <alignment horizontal="center" vertical="center"/>
      <protection hidden="1"/>
    </xf>
    <xf numFmtId="0" fontId="41" fillId="0" borderId="7" xfId="6" applyFont="1" applyBorder="1" applyAlignment="1" applyProtection="1">
      <alignment horizontal="center" vertical="center" wrapText="1"/>
      <protection hidden="1"/>
    </xf>
    <xf numFmtId="0" fontId="41" fillId="0" borderId="0" xfId="6" applyFont="1" applyBorder="1" applyAlignment="1" applyProtection="1">
      <alignment horizontal="center" vertical="center" wrapText="1"/>
      <protection hidden="1"/>
    </xf>
    <xf numFmtId="0" fontId="41" fillId="0" borderId="8" xfId="6" applyFont="1" applyBorder="1" applyAlignment="1" applyProtection="1">
      <alignment horizontal="center" vertical="center" wrapText="1"/>
      <protection hidden="1"/>
    </xf>
    <xf numFmtId="0" fontId="85" fillId="0" borderId="7" xfId="0" applyFont="1" applyBorder="1" applyAlignment="1" applyProtection="1">
      <alignment horizontal="center" vertical="center"/>
      <protection hidden="1"/>
    </xf>
    <xf numFmtId="0" fontId="85" fillId="0" borderId="0" xfId="0" applyFont="1" applyBorder="1" applyAlignment="1" applyProtection="1">
      <alignment horizontal="center" vertical="center"/>
      <protection hidden="1"/>
    </xf>
    <xf numFmtId="0" fontId="85" fillId="0" borderId="8" xfId="0" applyFont="1" applyBorder="1" applyAlignment="1" applyProtection="1">
      <alignment horizontal="center" vertical="center"/>
      <protection hidden="1"/>
    </xf>
    <xf numFmtId="0" fontId="94" fillId="0" borderId="7" xfId="6" applyFont="1" applyFill="1" applyBorder="1" applyAlignment="1" applyProtection="1">
      <alignment horizontal="center"/>
      <protection hidden="1"/>
    </xf>
    <xf numFmtId="0" fontId="94" fillId="0" borderId="0" xfId="6" applyFont="1" applyFill="1" applyBorder="1" applyAlignment="1" applyProtection="1">
      <alignment horizontal="center"/>
      <protection hidden="1"/>
    </xf>
    <xf numFmtId="0" fontId="94" fillId="0" borderId="8" xfId="6" applyFont="1" applyFill="1" applyBorder="1" applyAlignment="1" applyProtection="1">
      <alignment horizontal="center"/>
      <protection hidden="1"/>
    </xf>
    <xf numFmtId="0" fontId="2" fillId="0" borderId="0" xfId="0" applyFont="1" applyAlignment="1">
      <alignment horizontal="justify" vertical="justify" wrapText="1"/>
    </xf>
    <xf numFmtId="0" fontId="56" fillId="19" borderId="0" xfId="0" applyFont="1" applyFill="1" applyAlignment="1">
      <alignment horizontal="center" vertical="center"/>
    </xf>
    <xf numFmtId="0" fontId="2" fillId="0" borderId="0" xfId="0" applyFont="1" applyAlignment="1">
      <alignment horizontal="left" vertical="top" wrapText="1"/>
    </xf>
    <xf numFmtId="0" fontId="132" fillId="29" borderId="0" xfId="0" applyFont="1" applyFill="1" applyAlignment="1" applyProtection="1">
      <alignment horizontal="center" vertical="top"/>
      <protection hidden="1"/>
    </xf>
    <xf numFmtId="0" fontId="0" fillId="0" borderId="0" xfId="0" applyAlignment="1">
      <alignment horizontal="center"/>
    </xf>
    <xf numFmtId="0" fontId="36" fillId="0" borderId="0" xfId="6" applyFont="1" applyAlignment="1" applyProtection="1">
      <alignment horizontal="center" vertical="center"/>
      <protection hidden="1"/>
    </xf>
    <xf numFmtId="0" fontId="57" fillId="21" borderId="0" xfId="0" applyFont="1" applyFill="1" applyAlignment="1" applyProtection="1">
      <alignment horizontal="center"/>
      <protection hidden="1"/>
    </xf>
    <xf numFmtId="0" fontId="2" fillId="0" borderId="0" xfId="0" applyFont="1" applyAlignment="1" applyProtection="1">
      <alignment horizontal="left" vertical="center"/>
      <protection hidden="1"/>
    </xf>
    <xf numFmtId="0" fontId="56" fillId="19" borderId="0" xfId="0" applyFont="1" applyFill="1" applyAlignment="1" applyProtection="1">
      <alignment horizontal="center" vertical="center"/>
      <protection hidden="1"/>
    </xf>
    <xf numFmtId="0" fontId="2" fillId="0" borderId="0" xfId="0" applyFont="1" applyAlignment="1" applyProtection="1">
      <alignment horizontal="left" vertical="top" wrapText="1"/>
      <protection hidden="1"/>
    </xf>
    <xf numFmtId="0" fontId="0" fillId="0" borderId="0" xfId="0" applyAlignment="1" applyProtection="1">
      <alignment horizontal="left"/>
      <protection hidden="1"/>
    </xf>
    <xf numFmtId="0" fontId="0" fillId="0" borderId="0" xfId="0" applyFont="1" applyAlignment="1" applyProtection="1">
      <alignment horizontal="left" vertical="center" wrapText="1"/>
      <protection hidden="1"/>
    </xf>
    <xf numFmtId="0" fontId="0" fillId="0" borderId="0" xfId="0" applyFont="1" applyAlignment="1" applyProtection="1">
      <alignment horizontal="left" vertical="center"/>
      <protection hidden="1"/>
    </xf>
    <xf numFmtId="0" fontId="127" fillId="0" borderId="7" xfId="0" applyFont="1" applyBorder="1" applyAlignment="1" applyProtection="1">
      <alignment horizontal="center"/>
      <protection hidden="1"/>
    </xf>
    <xf numFmtId="0" fontId="127" fillId="0" borderId="0" xfId="0" applyFont="1" applyAlignment="1" applyProtection="1">
      <alignment horizontal="center"/>
      <protection hidden="1"/>
    </xf>
    <xf numFmtId="0" fontId="223" fillId="22" borderId="16" xfId="0" applyFont="1" applyFill="1" applyBorder="1" applyAlignment="1" applyProtection="1">
      <alignment horizontal="left" vertical="center"/>
      <protection hidden="1"/>
    </xf>
    <xf numFmtId="0" fontId="223" fillId="22" borderId="15" xfId="0" applyFont="1" applyFill="1" applyBorder="1" applyAlignment="1" applyProtection="1">
      <alignment horizontal="left" vertical="center"/>
      <protection hidden="1"/>
    </xf>
    <xf numFmtId="0" fontId="223" fillId="22" borderId="14" xfId="0" applyFont="1" applyFill="1" applyBorder="1" applyAlignment="1" applyProtection="1">
      <alignment horizontal="left" vertical="center"/>
      <protection hidden="1"/>
    </xf>
    <xf numFmtId="0" fontId="3" fillId="0" borderId="16" xfId="0" applyFont="1" applyBorder="1" applyAlignment="1" applyProtection="1">
      <alignment horizontal="center"/>
      <protection hidden="1"/>
    </xf>
    <xf numFmtId="0" fontId="3" fillId="0" borderId="15" xfId="0" applyFont="1" applyBorder="1" applyAlignment="1" applyProtection="1">
      <alignment horizontal="center"/>
      <protection hidden="1"/>
    </xf>
    <xf numFmtId="0" fontId="51" fillId="0" borderId="4" xfId="0" applyFont="1" applyBorder="1" applyAlignment="1" applyProtection="1">
      <alignment horizontal="center"/>
      <protection hidden="1"/>
    </xf>
    <xf numFmtId="0" fontId="51" fillId="0" borderId="6" xfId="0" applyFont="1" applyBorder="1" applyAlignment="1" applyProtection="1">
      <alignment horizontal="center"/>
      <protection hidden="1"/>
    </xf>
    <xf numFmtId="0" fontId="0" fillId="0" borderId="5" xfId="0" applyFill="1" applyBorder="1" applyAlignment="1" applyProtection="1">
      <alignment horizontal="center" vertical="justify" wrapText="1"/>
      <protection hidden="1"/>
    </xf>
    <xf numFmtId="0" fontId="0" fillId="2" borderId="4" xfId="0" applyFill="1" applyBorder="1" applyAlignment="1" applyProtection="1">
      <alignment horizontal="justify" vertical="justify" wrapText="1"/>
      <protection hidden="1"/>
    </xf>
    <xf numFmtId="0" fontId="0" fillId="0" borderId="6" xfId="0" applyBorder="1"/>
    <xf numFmtId="0" fontId="0" fillId="0" borderId="7" xfId="0" applyBorder="1"/>
    <xf numFmtId="0" fontId="0" fillId="0" borderId="8" xfId="0" applyBorder="1"/>
    <xf numFmtId="0" fontId="0" fillId="0" borderId="9" xfId="0" applyBorder="1"/>
    <xf numFmtId="0" fontId="0" fillId="0" borderId="11" xfId="0" applyBorder="1"/>
    <xf numFmtId="0" fontId="0" fillId="20" borderId="4" xfId="0" applyFill="1" applyBorder="1" applyAlignment="1" applyProtection="1">
      <alignment horizontal="left" vertical="top" wrapText="1"/>
      <protection hidden="1"/>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0" fillId="0" borderId="11" xfId="0" applyBorder="1" applyAlignment="1">
      <alignment horizontal="left" vertical="top"/>
    </xf>
    <xf numFmtId="0" fontId="18" fillId="2" borderId="16" xfId="0" applyFont="1" applyFill="1" applyBorder="1" applyAlignment="1" applyProtection="1">
      <alignment horizontal="center" vertical="justify" wrapText="1"/>
      <protection hidden="1"/>
    </xf>
    <xf numFmtId="0" fontId="18" fillId="2" borderId="15" xfId="0" applyFont="1" applyFill="1" applyBorder="1" applyAlignment="1" applyProtection="1">
      <alignment horizontal="center" vertical="justify" wrapText="1"/>
      <protection hidden="1"/>
    </xf>
    <xf numFmtId="0" fontId="0" fillId="20" borderId="4" xfId="0" applyFont="1" applyFill="1" applyBorder="1" applyAlignment="1" applyProtection="1">
      <alignment horizontal="justify" vertical="justify" wrapText="1"/>
      <protection hidden="1"/>
    </xf>
    <xf numFmtId="0" fontId="0" fillId="20" borderId="5" xfId="0" applyFont="1" applyFill="1" applyBorder="1" applyAlignment="1" applyProtection="1">
      <alignment horizontal="justify" vertical="justify" wrapText="1"/>
      <protection hidden="1"/>
    </xf>
    <xf numFmtId="0" fontId="0" fillId="20" borderId="9" xfId="0" applyFont="1" applyFill="1" applyBorder="1" applyAlignment="1" applyProtection="1">
      <alignment horizontal="justify" vertical="justify" wrapText="1"/>
      <protection hidden="1"/>
    </xf>
    <xf numFmtId="0" fontId="0" fillId="20" borderId="10" xfId="0" applyFont="1" applyFill="1" applyBorder="1" applyAlignment="1" applyProtection="1">
      <alignment horizontal="justify" vertical="justify" wrapText="1"/>
      <protection hidden="1"/>
    </xf>
    <xf numFmtId="0" fontId="2" fillId="20" borderId="19" xfId="0" applyFont="1" applyFill="1" applyBorder="1" applyAlignment="1" applyProtection="1">
      <alignment horizontal="center" vertical="center"/>
      <protection hidden="1"/>
    </xf>
    <xf numFmtId="0" fontId="2" fillId="20" borderId="17" xfId="0" applyFont="1" applyFill="1" applyBorder="1" applyAlignment="1" applyProtection="1">
      <alignment horizontal="center" vertical="center"/>
      <protection hidden="1"/>
    </xf>
    <xf numFmtId="0" fontId="0" fillId="2" borderId="5" xfId="0" applyFill="1" applyBorder="1" applyAlignment="1" applyProtection="1">
      <alignment horizontal="justify" vertical="justify" wrapText="1"/>
      <protection hidden="1"/>
    </xf>
    <xf numFmtId="0" fontId="0" fillId="2" borderId="9" xfId="0" applyFill="1" applyBorder="1" applyAlignment="1" applyProtection="1">
      <alignment horizontal="justify" vertical="justify" wrapText="1"/>
      <protection hidden="1"/>
    </xf>
    <xf numFmtId="0" fontId="0" fillId="2" borderId="10" xfId="0" applyFill="1" applyBorder="1" applyAlignment="1" applyProtection="1">
      <alignment horizontal="justify" vertical="justify" wrapText="1"/>
      <protection hidden="1"/>
    </xf>
    <xf numFmtId="0" fontId="2" fillId="2" borderId="19" xfId="0" applyFont="1" applyFill="1" applyBorder="1" applyAlignment="1" applyProtection="1">
      <alignment horizontal="center" vertical="center"/>
      <protection hidden="1"/>
    </xf>
    <xf numFmtId="0" fontId="2" fillId="2" borderId="17" xfId="0" applyFont="1" applyFill="1" applyBorder="1" applyAlignment="1" applyProtection="1">
      <alignment horizontal="center" vertical="center"/>
      <protection hidden="1"/>
    </xf>
    <xf numFmtId="0" fontId="18" fillId="20" borderId="16" xfId="0" applyFont="1" applyFill="1" applyBorder="1" applyAlignment="1" applyProtection="1">
      <alignment horizontal="center" vertical="justify" wrapText="1"/>
      <protection hidden="1"/>
    </xf>
    <xf numFmtId="0" fontId="18" fillId="20" borderId="15" xfId="0" applyFont="1" applyFill="1" applyBorder="1" applyAlignment="1" applyProtection="1">
      <alignment horizontal="center" vertical="justify" wrapText="1"/>
      <protection hidden="1"/>
    </xf>
    <xf numFmtId="0" fontId="0" fillId="0" borderId="10" xfId="0" applyBorder="1" applyAlignment="1" applyProtection="1">
      <alignment horizontal="center"/>
      <protection hidden="1"/>
    </xf>
    <xf numFmtId="0" fontId="0" fillId="0" borderId="15" xfId="0" applyBorder="1" applyAlignment="1" applyProtection="1">
      <alignment horizontal="center"/>
      <protection hidden="1"/>
    </xf>
    <xf numFmtId="0" fontId="224" fillId="16" borderId="4" xfId="0" applyFont="1" applyFill="1" applyBorder="1" applyAlignment="1" applyProtection="1">
      <alignment horizontal="center"/>
      <protection hidden="1"/>
    </xf>
    <xf numFmtId="0" fontId="224" fillId="16" borderId="5" xfId="0" applyFont="1" applyFill="1" applyBorder="1" applyAlignment="1" applyProtection="1">
      <alignment horizontal="center"/>
      <protection hidden="1"/>
    </xf>
    <xf numFmtId="0" fontId="224" fillId="16" borderId="6" xfId="0" applyFont="1" applyFill="1" applyBorder="1" applyAlignment="1" applyProtection="1">
      <alignment horizontal="center"/>
      <protection hidden="1"/>
    </xf>
    <xf numFmtId="0" fontId="0" fillId="0" borderId="7" xfId="0" applyBorder="1" applyAlignment="1" applyProtection="1">
      <alignment horizontal="center"/>
      <protection hidden="1"/>
    </xf>
    <xf numFmtId="0" fontId="7" fillId="0" borderId="48" xfId="0" applyFont="1" applyBorder="1" applyAlignment="1" applyProtection="1">
      <alignment horizontal="center" vertical="center" wrapText="1"/>
      <protection hidden="1"/>
    </xf>
    <xf numFmtId="0" fontId="138" fillId="0" borderId="0" xfId="0" applyFont="1" applyBorder="1" applyAlignment="1" applyProtection="1">
      <alignment horizontal="center"/>
      <protection hidden="1"/>
    </xf>
    <xf numFmtId="0" fontId="138" fillId="0" borderId="8" xfId="0" applyFont="1" applyBorder="1" applyAlignment="1" applyProtection="1">
      <alignment horizontal="center"/>
      <protection hidden="1"/>
    </xf>
    <xf numFmtId="0" fontId="138" fillId="0" borderId="10" xfId="0" applyFont="1" applyBorder="1" applyAlignment="1" applyProtection="1">
      <alignment horizontal="center"/>
      <protection hidden="1"/>
    </xf>
    <xf numFmtId="0" fontId="138" fillId="0" borderId="11" xfId="0" applyFont="1" applyBorder="1" applyAlignment="1" applyProtection="1">
      <alignment horizontal="center"/>
      <protection hidden="1"/>
    </xf>
    <xf numFmtId="0" fontId="106" fillId="12" borderId="19" xfId="0" applyFont="1" applyFill="1" applyBorder="1" applyAlignment="1" applyProtection="1">
      <alignment horizontal="center" vertical="center" wrapText="1"/>
      <protection hidden="1"/>
    </xf>
    <xf numFmtId="0" fontId="106" fillId="12" borderId="17" xfId="0" applyFont="1" applyFill="1" applyBorder="1" applyAlignment="1" applyProtection="1">
      <alignment horizontal="center" vertical="center" wrapText="1"/>
      <protection hidden="1"/>
    </xf>
    <xf numFmtId="0" fontId="0" fillId="0" borderId="5" xfId="0" applyBorder="1" applyAlignment="1" applyProtection="1">
      <alignment horizontal="center"/>
      <protection hidden="1"/>
    </xf>
    <xf numFmtId="0" fontId="0" fillId="0" borderId="53" xfId="0" applyBorder="1" applyAlignment="1" applyProtection="1">
      <alignment horizontal="center"/>
      <protection hidden="1"/>
    </xf>
    <xf numFmtId="0" fontId="105" fillId="19" borderId="0" xfId="0" applyFont="1" applyFill="1" applyBorder="1" applyAlignment="1" applyProtection="1">
      <alignment horizontal="center" vertical="center" wrapText="1"/>
      <protection hidden="1"/>
    </xf>
    <xf numFmtId="0" fontId="0" fillId="0" borderId="18" xfId="0" applyBorder="1" applyAlignment="1" applyProtection="1">
      <alignment horizontal="center"/>
      <protection hidden="1"/>
    </xf>
    <xf numFmtId="0" fontId="0" fillId="0" borderId="8" xfId="0" applyBorder="1" applyAlignment="1" applyProtection="1">
      <alignment horizontal="center"/>
      <protection hidden="1"/>
    </xf>
    <xf numFmtId="0" fontId="2" fillId="0" borderId="7" xfId="0" applyFont="1" applyBorder="1" applyAlignment="1" applyProtection="1">
      <alignment horizontal="center"/>
      <protection hidden="1"/>
    </xf>
    <xf numFmtId="0" fontId="2" fillId="0" borderId="0" xfId="0" applyFont="1" applyBorder="1" applyAlignment="1" applyProtection="1">
      <alignment horizontal="center"/>
      <protection hidden="1"/>
    </xf>
    <xf numFmtId="0" fontId="0" fillId="0" borderId="9" xfId="0" applyBorder="1" applyAlignment="1" applyProtection="1">
      <alignment horizontal="center"/>
      <protection hidden="1"/>
    </xf>
    <xf numFmtId="0" fontId="89" fillId="0" borderId="16" xfId="0" applyFont="1" applyBorder="1" applyAlignment="1" applyProtection="1">
      <alignment horizontal="center"/>
      <protection hidden="1"/>
    </xf>
    <xf numFmtId="0" fontId="89" fillId="0" borderId="15" xfId="0" applyFont="1" applyBorder="1" applyAlignment="1" applyProtection="1">
      <alignment horizontal="center"/>
      <protection hidden="1"/>
    </xf>
    <xf numFmtId="0" fontId="89" fillId="0" borderId="14" xfId="0" applyFont="1" applyBorder="1" applyAlignment="1" applyProtection="1">
      <alignment horizontal="center"/>
      <protection hidden="1"/>
    </xf>
    <xf numFmtId="0" fontId="124" fillId="0" borderId="0" xfId="0" applyFont="1" applyFill="1" applyBorder="1" applyAlignment="1" applyProtection="1">
      <alignment horizontal="center" vertical="center" wrapText="1"/>
      <protection hidden="1"/>
    </xf>
    <xf numFmtId="0" fontId="124" fillId="0" borderId="10" xfId="0" applyFont="1" applyFill="1" applyBorder="1" applyAlignment="1" applyProtection="1">
      <alignment horizontal="center" vertical="center" wrapText="1"/>
      <protection hidden="1"/>
    </xf>
    <xf numFmtId="0" fontId="164" fillId="44" borderId="7" xfId="0" applyFont="1" applyFill="1" applyBorder="1" applyAlignment="1" applyProtection="1">
      <alignment horizontal="center" vertical="top" wrapText="1"/>
      <protection hidden="1"/>
    </xf>
    <xf numFmtId="0" fontId="164" fillId="44" borderId="0" xfId="0" applyFont="1" applyFill="1" applyBorder="1" applyAlignment="1" applyProtection="1">
      <alignment horizontal="center" vertical="top" wrapText="1"/>
      <protection hidden="1"/>
    </xf>
    <xf numFmtId="0" fontId="108" fillId="25" borderId="0" xfId="0" applyFont="1" applyFill="1" applyAlignment="1" applyProtection="1">
      <alignment horizontal="center" vertical="center"/>
      <protection hidden="1"/>
    </xf>
    <xf numFmtId="0" fontId="173" fillId="25" borderId="0" xfId="0" applyFont="1" applyFill="1" applyAlignment="1" applyProtection="1">
      <alignment horizontal="center" vertical="center"/>
      <protection hidden="1"/>
    </xf>
    <xf numFmtId="0" fontId="172" fillId="25" borderId="0" xfId="0" applyFont="1" applyFill="1" applyAlignment="1" applyProtection="1">
      <alignment horizontal="center"/>
      <protection hidden="1"/>
    </xf>
    <xf numFmtId="0" fontId="68" fillId="25" borderId="0" xfId="0" applyFont="1" applyFill="1" applyAlignment="1" applyProtection="1">
      <alignment horizontal="center"/>
      <protection hidden="1"/>
    </xf>
    <xf numFmtId="0" fontId="0" fillId="25" borderId="0" xfId="0" applyFill="1" applyAlignment="1" applyProtection="1">
      <alignment horizontal="center"/>
      <protection hidden="1"/>
    </xf>
    <xf numFmtId="0" fontId="4" fillId="47" borderId="0" xfId="0" applyFont="1" applyFill="1" applyBorder="1" applyAlignment="1" applyProtection="1">
      <alignment horizontal="center" vertical="top"/>
      <protection hidden="1"/>
    </xf>
    <xf numFmtId="0" fontId="171" fillId="25" borderId="0" xfId="0" applyFont="1" applyFill="1" applyAlignment="1" applyProtection="1">
      <alignment horizontal="center" vertical="center"/>
      <protection hidden="1"/>
    </xf>
    <xf numFmtId="0" fontId="71" fillId="22" borderId="0" xfId="0" applyFont="1" applyFill="1" applyAlignment="1" applyProtection="1">
      <alignment horizontal="center" vertical="center"/>
      <protection hidden="1"/>
    </xf>
    <xf numFmtId="0" fontId="0" fillId="20" borderId="0" xfId="0" applyFill="1" applyBorder="1" applyAlignment="1" applyProtection="1">
      <alignment horizontal="center"/>
      <protection hidden="1"/>
    </xf>
    <xf numFmtId="0" fontId="0" fillId="20" borderId="0" xfId="0" applyFill="1" applyAlignment="1" applyProtection="1">
      <alignment horizontal="left" vertical="top"/>
      <protection hidden="1"/>
    </xf>
    <xf numFmtId="0" fontId="168" fillId="20" borderId="0" xfId="0" applyFont="1" applyFill="1" applyAlignment="1" applyProtection="1">
      <alignment horizontal="center"/>
      <protection hidden="1"/>
    </xf>
    <xf numFmtId="0" fontId="72" fillId="20" borderId="0" xfId="0" applyFont="1" applyFill="1" applyBorder="1" applyAlignment="1" applyProtection="1">
      <alignment horizontal="center" vertical="center"/>
      <protection hidden="1"/>
    </xf>
    <xf numFmtId="0" fontId="154" fillId="20" borderId="0" xfId="0" applyFont="1" applyFill="1" applyAlignment="1" applyProtection="1">
      <alignment horizontal="center" vertical="center" wrapText="1"/>
      <protection hidden="1"/>
    </xf>
    <xf numFmtId="0" fontId="61" fillId="20" borderId="0" xfId="0" applyFont="1" applyFill="1" applyAlignment="1" applyProtection="1">
      <alignment horizontal="center" vertical="center"/>
      <protection hidden="1"/>
    </xf>
    <xf numFmtId="0" fontId="129" fillId="20" borderId="0" xfId="0" applyFont="1" applyFill="1" applyBorder="1" applyAlignment="1" applyProtection="1">
      <alignment horizontal="center" vertical="center" wrapText="1"/>
      <protection hidden="1"/>
    </xf>
    <xf numFmtId="0" fontId="89" fillId="19" borderId="0" xfId="0" applyFont="1" applyFill="1" applyAlignment="1" applyProtection="1">
      <alignment horizontal="center" wrapText="1"/>
      <protection hidden="1"/>
    </xf>
    <xf numFmtId="0" fontId="96" fillId="20" borderId="0" xfId="0" applyFont="1" applyFill="1" applyAlignment="1" applyProtection="1">
      <alignment horizontal="center" vertical="center"/>
      <protection hidden="1"/>
    </xf>
    <xf numFmtId="0" fontId="89" fillId="17" borderId="0" xfId="0" applyFont="1" applyFill="1" applyAlignment="1" applyProtection="1">
      <alignment horizontal="center" vertical="top"/>
      <protection hidden="1"/>
    </xf>
    <xf numFmtId="0" fontId="55" fillId="10" borderId="0" xfId="0" applyFont="1" applyFill="1" applyAlignment="1" applyProtection="1">
      <alignment horizontal="center" vertical="center"/>
      <protection hidden="1"/>
    </xf>
    <xf numFmtId="0" fontId="186" fillId="10" borderId="0" xfId="0" applyFont="1" applyFill="1" applyBorder="1" applyAlignment="1" applyProtection="1">
      <alignment horizontal="center" vertical="center" wrapText="1"/>
      <protection hidden="1"/>
    </xf>
    <xf numFmtId="0" fontId="231" fillId="10" borderId="0" xfId="0" applyFont="1" applyFill="1" applyBorder="1" applyAlignment="1" applyProtection="1">
      <alignment horizontal="center" vertical="center"/>
      <protection hidden="1"/>
    </xf>
    <xf numFmtId="0" fontId="176" fillId="10" borderId="0" xfId="0" applyFont="1" applyFill="1" applyBorder="1" applyAlignment="1" applyProtection="1">
      <alignment horizontal="center"/>
      <protection hidden="1"/>
    </xf>
    <xf numFmtId="0" fontId="187" fillId="10" borderId="0" xfId="0" applyFont="1" applyFill="1" applyBorder="1" applyAlignment="1" applyProtection="1">
      <alignment horizontal="center" vertical="center"/>
      <protection hidden="1"/>
    </xf>
    <xf numFmtId="0" fontId="71" fillId="43" borderId="0" xfId="0" applyFont="1" applyFill="1" applyAlignment="1" applyProtection="1">
      <alignment horizontal="center" vertical="center"/>
      <protection hidden="1"/>
    </xf>
    <xf numFmtId="0" fontId="139" fillId="10" borderId="0" xfId="0" applyFont="1" applyFill="1" applyAlignment="1" applyProtection="1">
      <alignment horizontal="center" vertical="center" wrapText="1"/>
      <protection hidden="1"/>
    </xf>
    <xf numFmtId="0" fontId="175" fillId="10" borderId="0" xfId="0" applyFont="1" applyFill="1" applyAlignment="1" applyProtection="1">
      <alignment horizontal="center" vertical="center"/>
      <protection hidden="1"/>
    </xf>
    <xf numFmtId="0" fontId="176" fillId="10" borderId="0" xfId="0" applyFont="1" applyFill="1" applyAlignment="1" applyProtection="1">
      <alignment horizontal="left" vertical="top"/>
      <protection hidden="1"/>
    </xf>
    <xf numFmtId="0" fontId="177" fillId="10" borderId="0" xfId="0" applyFont="1" applyFill="1" applyAlignment="1" applyProtection="1">
      <alignment horizontal="center"/>
      <protection hidden="1"/>
    </xf>
    <xf numFmtId="0" fontId="55" fillId="2" borderId="0" xfId="0" applyFont="1" applyFill="1" applyAlignment="1" applyProtection="1">
      <alignment horizontal="center" vertical="center"/>
      <protection hidden="1"/>
    </xf>
    <xf numFmtId="0" fontId="129" fillId="2" borderId="0" xfId="0" applyFont="1" applyFill="1" applyBorder="1" applyAlignment="1" applyProtection="1">
      <alignment horizontal="center" vertical="center" wrapText="1"/>
      <protection hidden="1"/>
    </xf>
    <xf numFmtId="0" fontId="72" fillId="2" borderId="0" xfId="0" applyFont="1" applyFill="1" applyBorder="1" applyAlignment="1" applyProtection="1">
      <alignment horizontal="center" vertical="center"/>
      <protection hidden="1"/>
    </xf>
    <xf numFmtId="0" fontId="0" fillId="2" borderId="0" xfId="0" applyFill="1" applyBorder="1" applyAlignment="1" applyProtection="1">
      <alignment horizontal="center"/>
      <protection hidden="1"/>
    </xf>
    <xf numFmtId="0" fontId="71" fillId="38" borderId="0" xfId="0" applyFont="1" applyFill="1" applyAlignment="1" applyProtection="1">
      <alignment horizontal="center" vertical="center"/>
      <protection hidden="1"/>
    </xf>
    <xf numFmtId="0" fontId="154" fillId="2" borderId="0" xfId="0" applyFont="1" applyFill="1" applyAlignment="1" applyProtection="1">
      <alignment horizontal="center" vertical="center" wrapText="1"/>
      <protection hidden="1"/>
    </xf>
    <xf numFmtId="0" fontId="96" fillId="2" borderId="0" xfId="0" applyFont="1" applyFill="1" applyAlignment="1" applyProtection="1">
      <alignment horizontal="center" vertical="center"/>
      <protection hidden="1"/>
    </xf>
    <xf numFmtId="0" fontId="0" fillId="2" borderId="0" xfId="0" applyFill="1" applyAlignment="1" applyProtection="1">
      <alignment horizontal="left" vertical="top"/>
      <protection hidden="1"/>
    </xf>
    <xf numFmtId="0" fontId="168" fillId="2" borderId="0" xfId="0" applyFont="1" applyFill="1" applyAlignment="1" applyProtection="1">
      <alignment horizontal="left"/>
      <protection hidden="1"/>
    </xf>
    <xf numFmtId="0" fontId="188" fillId="29" borderId="0" xfId="0" applyFont="1" applyFill="1" applyAlignment="1" applyProtection="1">
      <alignment horizontal="center" vertical="center"/>
      <protection hidden="1"/>
    </xf>
    <xf numFmtId="0" fontId="7" fillId="29" borderId="0" xfId="0" applyFont="1" applyFill="1" applyAlignment="1" applyProtection="1">
      <alignment horizontal="center" vertical="center" wrapText="1"/>
      <protection hidden="1"/>
    </xf>
    <xf numFmtId="0" fontId="157" fillId="29" borderId="0" xfId="0" applyFont="1" applyFill="1" applyAlignment="1" applyProtection="1">
      <alignment horizontal="center" vertical="center" wrapText="1"/>
      <protection hidden="1"/>
    </xf>
    <xf numFmtId="0" fontId="0" fillId="29" borderId="0" xfId="0" applyFill="1" applyAlignment="1" applyProtection="1">
      <alignment horizontal="center"/>
      <protection hidden="1"/>
    </xf>
    <xf numFmtId="0" fontId="92" fillId="29" borderId="5" xfId="0" applyFont="1" applyFill="1" applyBorder="1" applyAlignment="1" applyProtection="1">
      <alignment horizontal="center" vertical="center"/>
      <protection hidden="1"/>
    </xf>
    <xf numFmtId="0" fontId="156" fillId="39" borderId="0" xfId="0" applyFont="1" applyFill="1" applyAlignment="1" applyProtection="1">
      <alignment horizontal="center" vertical="center"/>
      <protection hidden="1"/>
    </xf>
    <xf numFmtId="0" fontId="75" fillId="29" borderId="0" xfId="0" applyFont="1" applyFill="1" applyAlignment="1" applyProtection="1">
      <alignment horizontal="left" vertical="center" wrapText="1"/>
      <protection hidden="1"/>
    </xf>
    <xf numFmtId="0" fontId="79" fillId="29" borderId="0" xfId="0" applyFont="1" applyFill="1" applyAlignment="1" applyProtection="1">
      <alignment horizontal="center" vertical="center" wrapText="1"/>
      <protection hidden="1"/>
    </xf>
    <xf numFmtId="0" fontId="95" fillId="29" borderId="0" xfId="0" applyFont="1" applyFill="1" applyAlignment="1" applyProtection="1">
      <alignment horizontal="right"/>
      <protection hidden="1"/>
    </xf>
    <xf numFmtId="0" fontId="95" fillId="29" borderId="0" xfId="0" applyFont="1" applyFill="1" applyAlignment="1" applyProtection="1">
      <alignment horizontal="left"/>
      <protection hidden="1"/>
    </xf>
    <xf numFmtId="0" fontId="73" fillId="29" borderId="0" xfId="0" applyFont="1" applyFill="1" applyAlignment="1" applyProtection="1">
      <alignment horizontal="left"/>
      <protection hidden="1"/>
    </xf>
    <xf numFmtId="0" fontId="89" fillId="29" borderId="0" xfId="0" applyFont="1" applyFill="1" applyAlignment="1" applyProtection="1">
      <alignment horizontal="center"/>
      <protection hidden="1"/>
    </xf>
    <xf numFmtId="0" fontId="0" fillId="29" borderId="7" xfId="0" applyFill="1" applyBorder="1" applyAlignment="1" applyProtection="1">
      <alignment horizontal="center"/>
      <protection hidden="1"/>
    </xf>
    <xf numFmtId="0" fontId="74" fillId="29" borderId="0" xfId="0" applyFont="1" applyFill="1" applyAlignment="1" applyProtection="1">
      <alignment horizontal="center"/>
      <protection hidden="1"/>
    </xf>
    <xf numFmtId="0" fontId="105" fillId="29" borderId="0" xfId="0" applyFont="1" applyFill="1" applyAlignment="1" applyProtection="1">
      <alignment horizontal="center"/>
      <protection hidden="1"/>
    </xf>
    <xf numFmtId="0" fontId="0" fillId="30" borderId="0" xfId="0" applyFill="1" applyAlignment="1" applyProtection="1">
      <alignment horizontal="center"/>
      <protection hidden="1"/>
    </xf>
    <xf numFmtId="0" fontId="99" fillId="30" borderId="0" xfId="0" applyFont="1" applyFill="1" applyAlignment="1" applyProtection="1">
      <alignment horizontal="center"/>
      <protection hidden="1"/>
    </xf>
    <xf numFmtId="0" fontId="189" fillId="30" borderId="0" xfId="0" applyFont="1" applyFill="1" applyAlignment="1">
      <alignment horizontal="center" vertical="center"/>
    </xf>
    <xf numFmtId="0" fontId="100" fillId="31" borderId="0" xfId="0" applyFont="1" applyFill="1" applyAlignment="1" applyProtection="1">
      <alignment horizontal="center" vertical="center"/>
      <protection hidden="1"/>
    </xf>
    <xf numFmtId="0" fontId="101" fillId="30" borderId="0" xfId="1" applyFont="1" applyFill="1" applyAlignment="1" applyProtection="1">
      <alignment horizontal="center"/>
      <protection hidden="1"/>
    </xf>
    <xf numFmtId="0" fontId="138" fillId="0" borderId="0" xfId="0" applyFont="1" applyFill="1" applyAlignment="1" applyProtection="1">
      <alignment horizontal="left"/>
      <protection hidden="1"/>
    </xf>
    <xf numFmtId="0" fontId="228" fillId="8" borderId="0" xfId="0" applyFont="1" applyFill="1" applyAlignment="1" applyProtection="1">
      <alignment horizontal="left"/>
      <protection hidden="1"/>
    </xf>
    <xf numFmtId="0" fontId="227" fillId="8" borderId="0" xfId="0" applyFont="1" applyFill="1" applyAlignment="1" applyProtection="1">
      <alignment horizontal="center"/>
      <protection locked="0" hidden="1"/>
    </xf>
    <xf numFmtId="0" fontId="227" fillId="8" borderId="0" xfId="0" applyFont="1" applyFill="1" applyAlignment="1" applyProtection="1">
      <alignment horizontal="left"/>
      <protection hidden="1"/>
    </xf>
    <xf numFmtId="0" fontId="227" fillId="8" borderId="0" xfId="0" applyFont="1" applyFill="1" applyAlignment="1" applyProtection="1">
      <alignment horizontal="left"/>
      <protection locked="0" hidden="1"/>
    </xf>
    <xf numFmtId="0" fontId="227" fillId="8" borderId="0" xfId="0" applyFont="1" applyFill="1" applyAlignment="1" applyProtection="1">
      <alignment horizontal="center"/>
      <protection hidden="1"/>
    </xf>
    <xf numFmtId="0" fontId="227" fillId="35" borderId="0" xfId="0" applyFont="1" applyFill="1" applyAlignment="1" applyProtection="1">
      <alignment horizontal="center"/>
      <protection hidden="1"/>
    </xf>
    <xf numFmtId="0" fontId="227" fillId="4" borderId="0" xfId="0" applyFont="1" applyFill="1" applyAlignment="1" applyProtection="1">
      <alignment horizontal="center"/>
      <protection hidden="1"/>
    </xf>
    <xf numFmtId="0" fontId="227" fillId="6" borderId="0" xfId="0" applyFont="1" applyFill="1" applyAlignment="1" applyProtection="1">
      <alignment horizontal="center"/>
      <protection hidden="1"/>
    </xf>
    <xf numFmtId="0" fontId="229" fillId="8" borderId="0" xfId="0" applyFont="1" applyFill="1" applyAlignment="1" applyProtection="1">
      <alignment horizontal="center" vertical="center" wrapText="1"/>
      <protection hidden="1"/>
    </xf>
    <xf numFmtId="0" fontId="229" fillId="8" borderId="0" xfId="0" applyFont="1" applyFill="1" applyAlignment="1" applyProtection="1">
      <alignment horizontal="center" vertical="center"/>
      <protection hidden="1"/>
    </xf>
    <xf numFmtId="0" fontId="0" fillId="6" borderId="0" xfId="0" applyFill="1" applyAlignment="1" applyProtection="1">
      <alignment horizontal="center"/>
      <protection hidden="1"/>
    </xf>
    <xf numFmtId="0" fontId="230" fillId="8" borderId="0" xfId="0" applyFont="1" applyFill="1" applyAlignment="1" applyProtection="1">
      <alignment horizontal="center" vertical="center"/>
      <protection locked="0" hidden="1"/>
    </xf>
    <xf numFmtId="0" fontId="49" fillId="0" borderId="0" xfId="0" applyFont="1" applyAlignment="1" applyProtection="1">
      <alignment horizontal="center" vertical="center"/>
      <protection hidden="1"/>
    </xf>
    <xf numFmtId="0" fontId="85" fillId="19" borderId="0" xfId="0" applyFont="1" applyFill="1" applyAlignment="1" applyProtection="1">
      <alignment horizontal="center"/>
      <protection locked="0"/>
    </xf>
    <xf numFmtId="0" fontId="1" fillId="0" borderId="0" xfId="0" applyFont="1" applyAlignment="1" applyProtection="1">
      <alignment horizontal="center"/>
      <protection hidden="1"/>
    </xf>
    <xf numFmtId="0" fontId="106" fillId="0" borderId="0" xfId="0" applyFont="1" applyAlignment="1" applyProtection="1">
      <alignment horizontal="center"/>
      <protection hidden="1"/>
    </xf>
    <xf numFmtId="0" fontId="201" fillId="0" borderId="0" xfId="0" applyFont="1" applyAlignment="1" applyProtection="1">
      <alignment horizontal="center" vertical="center"/>
      <protection hidden="1"/>
    </xf>
    <xf numFmtId="0" fontId="200" fillId="51" borderId="0" xfId="0" applyFont="1" applyFill="1" applyAlignment="1" applyProtection="1">
      <alignment horizontal="center" vertical="center"/>
      <protection hidden="1"/>
    </xf>
    <xf numFmtId="0" fontId="0" fillId="0" borderId="0" xfId="0" applyAlignment="1" applyProtection="1">
      <alignment horizontal="center"/>
      <protection hidden="1"/>
    </xf>
    <xf numFmtId="0" fontId="135" fillId="0" borderId="0" xfId="0" applyFont="1" applyAlignment="1" applyProtection="1">
      <alignment horizontal="center"/>
      <protection hidden="1"/>
    </xf>
    <xf numFmtId="0" fontId="202" fillId="0" borderId="0" xfId="0" applyFont="1" applyAlignment="1" applyProtection="1">
      <alignment horizontal="center" vertical="center"/>
      <protection hidden="1"/>
    </xf>
    <xf numFmtId="0" fontId="232" fillId="9" borderId="4" xfId="0" applyFont="1" applyFill="1" applyBorder="1" applyAlignment="1" applyProtection="1">
      <alignment horizontal="center" vertical="center"/>
      <protection hidden="1"/>
    </xf>
    <xf numFmtId="0" fontId="232" fillId="9" borderId="7" xfId="0" applyFont="1" applyFill="1" applyBorder="1" applyAlignment="1" applyProtection="1">
      <alignment horizontal="center" vertical="center"/>
      <protection hidden="1"/>
    </xf>
    <xf numFmtId="0" fontId="232" fillId="9" borderId="9" xfId="0" applyFont="1" applyFill="1" applyBorder="1" applyAlignment="1" applyProtection="1">
      <alignment horizontal="center" vertical="center"/>
      <protection hidden="1"/>
    </xf>
    <xf numFmtId="0" fontId="46" fillId="0" borderId="0" xfId="0" applyFont="1" applyAlignment="1" applyProtection="1">
      <alignment horizontal="center" vertical="center"/>
      <protection hidden="1"/>
    </xf>
    <xf numFmtId="0" fontId="71" fillId="39" borderId="0" xfId="0" applyFont="1" applyFill="1" applyAlignment="1" applyProtection="1">
      <alignment horizontal="center"/>
      <protection hidden="1"/>
    </xf>
    <xf numFmtId="0" fontId="18" fillId="0" borderId="0" xfId="0" applyFont="1" applyAlignment="1" applyProtection="1">
      <alignment horizontal="center" vertical="center"/>
      <protection hidden="1"/>
    </xf>
    <xf numFmtId="0" fontId="22" fillId="0" borderId="0" xfId="0" applyFont="1" applyAlignment="1" applyProtection="1">
      <alignment horizontal="left"/>
      <protection hidden="1"/>
    </xf>
    <xf numFmtId="0" fontId="22" fillId="0" borderId="8" xfId="0" applyFont="1" applyBorder="1" applyAlignment="1" applyProtection="1">
      <alignment horizontal="left"/>
      <protection hidden="1"/>
    </xf>
    <xf numFmtId="0" fontId="235" fillId="0" borderId="0" xfId="0" applyFont="1" applyAlignment="1" applyProtection="1">
      <alignment horizontal="left"/>
      <protection hidden="1"/>
    </xf>
    <xf numFmtId="0" fontId="22" fillId="0" borderId="0" xfId="0" applyFont="1" applyBorder="1" applyAlignment="1" applyProtection="1">
      <alignment horizontal="left"/>
      <protection hidden="1"/>
    </xf>
    <xf numFmtId="0" fontId="18" fillId="0" borderId="16" xfId="0" applyFont="1" applyBorder="1" applyAlignment="1" applyProtection="1">
      <alignment horizontal="center" vertical="center"/>
      <protection locked="0"/>
    </xf>
    <xf numFmtId="0" fontId="18" fillId="0" borderId="14" xfId="0" applyFont="1" applyBorder="1" applyAlignment="1" applyProtection="1">
      <alignment horizontal="center" vertical="center"/>
      <protection locked="0"/>
    </xf>
    <xf numFmtId="0" fontId="240" fillId="63" borderId="0" xfId="0" applyFont="1" applyFill="1" applyBorder="1" applyAlignment="1" applyProtection="1">
      <alignment horizontal="left" vertical="center"/>
      <protection hidden="1"/>
    </xf>
    <xf numFmtId="0" fontId="240" fillId="63" borderId="0" xfId="0" applyFont="1" applyFill="1" applyAlignment="1" applyProtection="1">
      <alignment horizontal="left" vertical="center"/>
      <protection hidden="1"/>
    </xf>
    <xf numFmtId="0" fontId="237" fillId="63" borderId="0" xfId="0" applyFont="1" applyFill="1" applyAlignment="1" applyProtection="1">
      <alignment horizontal="left"/>
      <protection hidden="1"/>
    </xf>
    <xf numFmtId="0" fontId="192" fillId="61" borderId="0" xfId="0" applyFont="1" applyFill="1" applyAlignment="1" applyProtection="1">
      <alignment horizontal="center"/>
      <protection hidden="1"/>
    </xf>
    <xf numFmtId="0" fontId="149" fillId="61" borderId="0" xfId="0" applyFont="1" applyFill="1" applyAlignment="1" applyProtection="1">
      <alignment horizontal="center"/>
      <protection hidden="1"/>
    </xf>
    <xf numFmtId="0" fontId="145" fillId="63" borderId="0" xfId="0" applyFont="1" applyFill="1" applyAlignment="1" applyProtection="1">
      <alignment horizontal="center"/>
      <protection hidden="1"/>
    </xf>
    <xf numFmtId="0" fontId="194" fillId="63" borderId="0" xfId="0" applyFont="1" applyFill="1" applyAlignment="1" applyProtection="1">
      <alignment horizontal="center" vertical="center"/>
      <protection hidden="1"/>
    </xf>
    <xf numFmtId="0" fontId="218" fillId="63" borderId="0" xfId="0" applyFont="1" applyFill="1" applyAlignment="1" applyProtection="1">
      <alignment horizontal="center"/>
      <protection hidden="1"/>
    </xf>
    <xf numFmtId="0" fontId="145" fillId="62" borderId="0" xfId="0" applyFont="1" applyFill="1" applyAlignment="1" applyProtection="1">
      <alignment horizontal="center"/>
      <protection hidden="1"/>
    </xf>
    <xf numFmtId="0" fontId="236" fillId="63" borderId="0" xfId="0" applyFont="1" applyFill="1" applyAlignment="1" applyProtection="1">
      <alignment horizontal="left" vertical="center"/>
      <protection hidden="1"/>
    </xf>
    <xf numFmtId="0" fontId="239" fillId="63" borderId="0" xfId="0" applyFont="1" applyFill="1" applyAlignment="1" applyProtection="1">
      <alignment horizontal="center"/>
      <protection hidden="1"/>
    </xf>
    <xf numFmtId="0" fontId="237" fillId="63" borderId="0" xfId="0" applyFont="1" applyFill="1" applyAlignment="1" applyProtection="1">
      <alignment horizontal="left" vertical="justify" wrapText="1"/>
      <protection hidden="1"/>
    </xf>
    <xf numFmtId="0" fontId="237" fillId="63" borderId="0" xfId="0" applyFont="1" applyFill="1" applyAlignment="1" applyProtection="1">
      <alignment horizontal="center"/>
      <protection hidden="1"/>
    </xf>
    <xf numFmtId="0" fontId="238" fillId="63" borderId="0" xfId="0" applyFont="1" applyFill="1" applyAlignment="1" applyProtection="1">
      <alignment horizontal="center"/>
      <protection hidden="1"/>
    </xf>
    <xf numFmtId="0" fontId="237" fillId="63" borderId="0" xfId="0" applyFont="1" applyFill="1" applyAlignment="1" applyProtection="1">
      <alignment horizontal="right"/>
      <protection hidden="1"/>
    </xf>
    <xf numFmtId="0" fontId="232" fillId="9" borderId="0" xfId="0" applyFont="1" applyFill="1" applyBorder="1" applyAlignment="1" applyProtection="1">
      <alignment horizontal="center" vertical="center"/>
      <protection hidden="1"/>
    </xf>
    <xf numFmtId="0" fontId="234" fillId="9" borderId="0" xfId="6" applyFont="1" applyFill="1" applyBorder="1" applyAlignment="1" applyProtection="1">
      <alignment horizontal="left" vertical="center"/>
      <protection hidden="1"/>
    </xf>
    <xf numFmtId="0" fontId="234" fillId="9" borderId="5" xfId="6" applyFont="1" applyFill="1" applyBorder="1" applyAlignment="1" applyProtection="1">
      <alignment horizontal="left" vertical="center"/>
      <protection hidden="1"/>
    </xf>
    <xf numFmtId="0" fontId="103" fillId="3" borderId="0" xfId="0" applyFont="1" applyFill="1" applyAlignment="1" applyProtection="1">
      <alignment horizontal="center" vertical="center"/>
      <protection hidden="1"/>
    </xf>
    <xf numFmtId="0" fontId="0" fillId="65" borderId="0" xfId="0" applyFill="1" applyAlignment="1" applyProtection="1">
      <alignment horizontal="center"/>
      <protection hidden="1"/>
    </xf>
    <xf numFmtId="0" fontId="7" fillId="0" borderId="0" xfId="0" applyFont="1" applyAlignment="1" applyProtection="1">
      <alignment horizontal="left" vertical="center"/>
      <protection hidden="1"/>
    </xf>
    <xf numFmtId="0" fontId="92" fillId="0" borderId="0" xfId="0" applyFont="1" applyAlignment="1" applyProtection="1">
      <alignment horizontal="left" vertical="center"/>
      <protection hidden="1"/>
    </xf>
    <xf numFmtId="0" fontId="128" fillId="0" borderId="0" xfId="0" applyFont="1" applyAlignment="1" applyProtection="1">
      <alignment horizontal="right" vertical="top"/>
      <protection hidden="1"/>
    </xf>
    <xf numFmtId="0" fontId="248" fillId="0" borderId="0" xfId="0" applyFont="1" applyAlignment="1" applyProtection="1">
      <alignment horizontal="left"/>
      <protection hidden="1"/>
    </xf>
    <xf numFmtId="0" fontId="248" fillId="0" borderId="0" xfId="0" applyFont="1" applyAlignment="1" applyProtection="1">
      <alignment horizontal="center"/>
      <protection hidden="1"/>
    </xf>
    <xf numFmtId="0" fontId="124" fillId="0" borderId="0" xfId="0" applyFont="1" applyFill="1" applyAlignment="1" applyProtection="1">
      <alignment horizontal="center" vertical="center"/>
      <protection hidden="1"/>
    </xf>
    <xf numFmtId="0" fontId="247" fillId="0" borderId="0" xfId="0" applyFont="1" applyAlignment="1" applyProtection="1">
      <alignment horizontal="center" vertical="center"/>
      <protection hidden="1"/>
    </xf>
    <xf numFmtId="0" fontId="61" fillId="0" borderId="0" xfId="0" applyFont="1" applyAlignment="1" applyProtection="1">
      <alignment horizontal="center" vertical="center"/>
      <protection hidden="1"/>
    </xf>
    <xf numFmtId="0" fontId="189" fillId="0" borderId="0" xfId="0" applyFont="1" applyAlignment="1" applyProtection="1">
      <alignment horizontal="left" vertical="center"/>
      <protection hidden="1"/>
    </xf>
    <xf numFmtId="0" fontId="27" fillId="0" borderId="0" xfId="0" applyFont="1" applyAlignment="1" applyProtection="1">
      <alignment horizontal="right"/>
      <protection hidden="1"/>
    </xf>
    <xf numFmtId="0" fontId="249" fillId="0" borderId="0" xfId="0" applyFont="1" applyAlignment="1" applyProtection="1">
      <alignment horizontal="center" vertical="center"/>
      <protection hidden="1"/>
    </xf>
  </cellXfs>
  <cellStyles count="8">
    <cellStyle name="Lien hypertexte" xfId="1" builtinId="8"/>
    <cellStyle name="Lien hypertexte 2" xfId="6"/>
    <cellStyle name="Milliers" xfId="3" builtinId="3"/>
    <cellStyle name="Milliers 2" xfId="7"/>
    <cellStyle name="Monétaire" xfId="2" builtinId="4"/>
    <cellStyle name="Normal" xfId="0" builtinId="0"/>
    <cellStyle name="Normal 2" xfId="4"/>
    <cellStyle name="Normal 3" xfId="5"/>
  </cellStyles>
  <dxfs count="499">
    <dxf>
      <font>
        <b/>
        <i val="0"/>
        <color theme="0"/>
      </font>
      <fill>
        <patternFill>
          <bgColor rgb="FFFF0000"/>
        </patternFill>
      </fill>
    </dxf>
    <dxf>
      <font>
        <b/>
        <i/>
        <color rgb="FFFF000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border>
        <left style="thin">
          <color theme="0"/>
        </left>
        <right style="thin">
          <color theme="0"/>
        </right>
        <top style="thin">
          <color theme="0"/>
        </top>
        <bottom style="thin">
          <color theme="0"/>
        </bottom>
        <vertical/>
        <horizontal/>
      </border>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dxf>
    <dxf>
      <font>
        <b val="0"/>
        <i val="0"/>
        <color theme="0"/>
      </font>
      <fill>
        <patternFill>
          <bgColor theme="0"/>
        </patternFill>
      </fill>
      <border>
        <left style="thin">
          <color theme="0"/>
        </left>
        <right style="thin">
          <color theme="0"/>
        </right>
        <top style="thin">
          <color theme="0"/>
        </top>
        <bottom style="thin">
          <color theme="0"/>
        </bottom>
        <vertical/>
        <horizontal/>
      </border>
    </dxf>
    <dxf>
      <font>
        <b/>
        <i/>
        <color rgb="FF002060"/>
      </font>
      <fill>
        <patternFill>
          <bgColor theme="7" tint="0.59996337778862885"/>
        </patternFill>
      </fill>
      <border>
        <left style="thin">
          <color rgb="FFCC0099"/>
        </left>
        <right style="thin">
          <color rgb="FFCC0099"/>
        </right>
        <top style="thin">
          <color rgb="FFCC0099"/>
        </top>
        <bottom style="thin">
          <color rgb="FFCC0099"/>
        </bottom>
        <vertical/>
        <horizontal/>
      </border>
    </dxf>
    <dxf>
      <font>
        <b/>
        <i/>
        <color rgb="FF002060"/>
      </font>
      <fill>
        <patternFill>
          <bgColor theme="7" tint="0.59996337778862885"/>
        </patternFill>
      </fill>
      <border>
        <left style="thin">
          <color rgb="FFCC0099"/>
        </left>
        <right style="thin">
          <color rgb="FFCC0099"/>
        </right>
        <top style="thin">
          <color rgb="FFCC0099"/>
        </top>
        <bottom style="thin">
          <color rgb="FFCC0099"/>
        </bottom>
        <vertical/>
        <horizontal/>
      </border>
    </dxf>
    <dxf>
      <font>
        <b/>
        <i/>
        <color rgb="FF002060"/>
      </font>
      <fill>
        <patternFill>
          <bgColor theme="7" tint="0.59996337778862885"/>
        </patternFill>
      </fill>
      <border>
        <left style="thin">
          <color rgb="FFCC0099"/>
        </left>
        <right style="thin">
          <color rgb="FFCC0099"/>
        </right>
        <top style="thin">
          <color rgb="FFCC0099"/>
        </top>
        <bottom style="thin">
          <color rgb="FFCC0099"/>
        </bottom>
        <vertical/>
        <horizontal/>
      </border>
    </dxf>
    <dxf>
      <font>
        <b/>
        <i/>
        <color rgb="FF002060"/>
      </font>
      <fill>
        <patternFill>
          <bgColor theme="7" tint="0.59996337778862885"/>
        </patternFill>
      </fill>
      <border>
        <left style="thin">
          <color rgb="FFCC0099"/>
        </left>
        <right style="thin">
          <color rgb="FFCC0099"/>
        </right>
        <top style="thin">
          <color rgb="FFCC0099"/>
        </top>
        <bottom style="thin">
          <color rgb="FFCC0099"/>
        </bottom>
        <vertical/>
        <horizontal/>
      </border>
    </dxf>
    <dxf>
      <font>
        <b/>
        <i/>
        <color rgb="FF002060"/>
      </font>
      <fill>
        <patternFill>
          <bgColor theme="7" tint="0.59996337778862885"/>
        </patternFill>
      </fill>
      <border>
        <left style="thin">
          <color rgb="FFCC0099"/>
        </left>
        <right style="thin">
          <color rgb="FFCC0099"/>
        </right>
        <top style="thin">
          <color rgb="FFCC0099"/>
        </top>
        <bottom style="thin">
          <color rgb="FFCC0099"/>
        </bottom>
        <vertical/>
        <horizontal/>
      </border>
    </dxf>
    <dxf>
      <font>
        <b/>
        <i/>
        <color rgb="FFFF0000"/>
      </font>
      <fill>
        <patternFill>
          <bgColor rgb="FFFFC000"/>
        </patternFill>
      </fill>
    </dxf>
    <dxf>
      <font>
        <color theme="0"/>
      </font>
      <fill>
        <patternFill>
          <bgColor theme="0" tint="-4.9989318521683403E-2"/>
        </patternFill>
      </fill>
      <border>
        <left style="thin">
          <color theme="0"/>
        </left>
        <right style="thin">
          <color theme="0"/>
        </right>
        <top style="thin">
          <color theme="0"/>
        </top>
        <bottom style="thin">
          <color theme="0"/>
        </bottom>
      </border>
    </dxf>
    <dxf>
      <font>
        <color theme="0"/>
      </font>
      <fill>
        <patternFill>
          <bgColor theme="0" tint="-4.9989318521683403E-2"/>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vertical/>
        <horizontal/>
      </border>
    </dxf>
    <dxf>
      <font>
        <b/>
        <i/>
        <color rgb="FFFF0000"/>
      </font>
      <fill>
        <patternFill>
          <bgColor rgb="FFFFC000"/>
        </patternFill>
      </fill>
    </dxf>
    <dxf>
      <font>
        <color rgb="FFCC99FF"/>
      </font>
      <fill>
        <patternFill>
          <bgColor rgb="FFCC99FF"/>
        </patternFill>
      </fill>
      <border>
        <left style="thin">
          <color rgb="FFCC99FF"/>
        </left>
        <right style="thin">
          <color rgb="FFCC99FF"/>
        </right>
        <top style="thin">
          <color rgb="FFCC99FF"/>
        </top>
        <bottom style="thin">
          <color rgb="FFCC99FF"/>
        </bottom>
      </border>
    </dxf>
    <dxf>
      <font>
        <b/>
        <i/>
        <color rgb="FFFFFFCC"/>
      </font>
      <fill>
        <patternFill>
          <bgColor rgb="FF7030A0"/>
        </patternFill>
      </fill>
      <border>
        <left style="thin">
          <color rgb="FF542A00"/>
        </left>
        <right style="thin">
          <color rgb="FF542A00"/>
        </right>
        <top style="thin">
          <color rgb="FF542A00"/>
        </top>
        <bottom style="thin">
          <color rgb="FF542A00"/>
        </bottom>
        <vertical/>
        <horizontal/>
      </border>
    </dxf>
    <dxf>
      <font>
        <b/>
        <i/>
        <color rgb="FFCC99FF"/>
      </font>
      <fill>
        <patternFill>
          <fgColor rgb="FFFFCD9B"/>
          <bgColor rgb="FFCC99FF"/>
        </patternFill>
      </fill>
      <border>
        <left style="thin">
          <color rgb="FFCC99FF"/>
        </left>
        <right style="thin">
          <color rgb="FFCC99FF"/>
        </right>
        <top style="thin">
          <color rgb="FFCC99FF"/>
        </top>
        <bottom style="thin">
          <color rgb="FFCC99FF"/>
        </bottom>
      </border>
    </dxf>
    <dxf>
      <font>
        <b/>
        <i/>
        <color theme="2" tint="-0.24994659260841701"/>
      </font>
      <fill>
        <patternFill>
          <bgColor rgb="FF7030A0"/>
        </patternFill>
      </fill>
      <border>
        <left style="thin">
          <color rgb="FF542A00"/>
        </left>
        <right style="thin">
          <color rgb="FF542A00"/>
        </right>
        <top style="thin">
          <color rgb="FF542A00"/>
        </top>
        <bottom style="thin">
          <color rgb="FF542A00"/>
        </bottom>
        <vertical/>
        <horizontal/>
      </border>
    </dxf>
    <dxf>
      <border>
        <left/>
        <right/>
        <top/>
        <bottom/>
        <vertical/>
        <horizontal/>
      </border>
    </dxf>
    <dxf>
      <font>
        <b/>
        <i/>
        <color rgb="FF008000"/>
      </font>
      <fill>
        <patternFill>
          <bgColor rgb="FFCCCC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b/>
        <i val="0"/>
        <color rgb="FF008000"/>
      </font>
      <fill>
        <patternFill>
          <bgColor rgb="FF92D050"/>
        </patternFill>
      </fill>
    </dxf>
    <dxf>
      <font>
        <b/>
        <i val="0"/>
        <color theme="0"/>
      </font>
      <fill>
        <patternFill>
          <bgColor rgb="FFFF0000"/>
        </patternFill>
      </fill>
    </dxf>
    <dxf>
      <font>
        <b/>
        <i/>
        <color rgb="FF008000"/>
      </font>
      <fill>
        <patternFill>
          <bgColor rgb="FFFFC000"/>
        </patternFill>
      </fill>
    </dxf>
    <dxf>
      <font>
        <color rgb="FFFFFFCC"/>
      </font>
      <fill>
        <patternFill>
          <bgColor rgb="FFFFFFCC"/>
        </patternFill>
      </fill>
    </dxf>
    <dxf>
      <font>
        <color rgb="FFFFFFCC"/>
      </font>
      <fill>
        <patternFill>
          <bgColor rgb="FFFFFFCC"/>
        </patternFill>
      </fill>
    </dxf>
    <dxf>
      <font>
        <color rgb="FFFFFFCC"/>
      </font>
      <fill>
        <patternFill>
          <bgColor rgb="FFFFFFCC"/>
        </patternFill>
      </fill>
    </dxf>
    <dxf>
      <font>
        <color rgb="FFFFFFCC"/>
      </font>
      <fill>
        <patternFill>
          <bgColor rgb="FFFFFFCC"/>
        </patternFill>
      </fill>
    </dxf>
    <dxf>
      <font>
        <color rgb="FFFFFFCC"/>
      </font>
      <fill>
        <patternFill>
          <bgColor rgb="FFFFFFCC"/>
        </patternFill>
      </fill>
    </dxf>
    <dxf>
      <font>
        <color rgb="FFFFFFCC"/>
      </font>
      <fill>
        <patternFill>
          <bgColor rgb="FFFFFFCC"/>
        </patternFill>
      </fill>
    </dxf>
    <dxf>
      <font>
        <color rgb="FFFFFFCC"/>
      </font>
      <fill>
        <patternFill>
          <bgColor rgb="FFFFFFCC"/>
        </patternFill>
      </fill>
    </dxf>
    <dxf>
      <font>
        <b/>
        <i/>
        <color rgb="FFFF000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val="0"/>
      </font>
      <fill>
        <patternFill>
          <bgColor rgb="FFFFC000"/>
        </patternFill>
      </fill>
    </dxf>
    <dxf>
      <font>
        <b/>
        <i val="0"/>
        <color theme="1"/>
      </font>
      <fill>
        <patternFill>
          <bgColor theme="9" tint="-0.24994659260841701"/>
        </patternFill>
      </fill>
    </dxf>
    <dxf>
      <font>
        <b/>
        <i/>
        <color rgb="FFFF0000"/>
      </font>
    </dxf>
    <dxf>
      <fill>
        <patternFill>
          <bgColor theme="2" tint="-0.499984740745262"/>
        </patternFill>
      </fill>
    </dxf>
    <dxf>
      <fill>
        <patternFill>
          <bgColor theme="0" tint="-0.14996795556505021"/>
        </patternFill>
      </fill>
    </dxf>
    <dxf>
      <fill>
        <patternFill>
          <bgColor theme="0" tint="-4.9989318521683403E-2"/>
        </patternFill>
      </fill>
    </dxf>
    <dxf>
      <fill>
        <patternFill>
          <bgColor rgb="FFFF0000"/>
        </patternFill>
      </fill>
    </dxf>
    <dxf>
      <font>
        <b/>
        <i/>
        <color rgb="FF9A3A38"/>
      </font>
    </dxf>
    <dxf>
      <fill>
        <patternFill>
          <bgColor rgb="FFFF0000"/>
        </patternFill>
      </fill>
    </dxf>
    <dxf>
      <font>
        <b/>
        <i/>
        <color rgb="FF9A3A38"/>
      </font>
    </dxf>
    <dxf>
      <fill>
        <patternFill>
          <bgColor rgb="FFFF0000"/>
        </patternFill>
      </fill>
    </dxf>
    <dxf>
      <font>
        <b/>
        <i/>
        <color rgb="FF9A3A38"/>
      </font>
    </dxf>
    <dxf>
      <fill>
        <patternFill>
          <bgColor rgb="FFFF0000"/>
        </patternFill>
      </fill>
    </dxf>
    <dxf>
      <font>
        <b/>
        <i/>
        <color rgb="FF9A3A38"/>
      </font>
    </dxf>
    <dxf>
      <fill>
        <patternFill>
          <bgColor rgb="FFFF0000"/>
        </patternFill>
      </fill>
    </dxf>
    <dxf>
      <font>
        <b/>
        <i/>
        <color rgb="FF9A3A38"/>
      </font>
    </dxf>
    <dxf>
      <fill>
        <patternFill>
          <bgColor rgb="FFFF0000"/>
        </patternFill>
      </fill>
    </dxf>
    <dxf>
      <font>
        <b/>
        <i/>
        <color rgb="FF9A3A38"/>
      </font>
    </dxf>
    <dxf>
      <fill>
        <patternFill>
          <bgColor rgb="FFFF0000"/>
        </patternFill>
      </fill>
    </dxf>
    <dxf>
      <font>
        <b/>
        <i/>
        <color rgb="FF9A3A38"/>
      </font>
    </dxf>
    <dxf>
      <font>
        <b/>
        <i val="0"/>
        <color rgb="FFFF0000"/>
      </font>
      <fill>
        <patternFill>
          <bgColor rgb="FFFFC000"/>
        </patternFill>
      </fill>
      <border>
        <left style="thin">
          <color rgb="FFCC00FF"/>
        </left>
        <right style="thin">
          <color rgb="FFCC00FF"/>
        </right>
        <top style="thin">
          <color rgb="FFCC00FF"/>
        </top>
        <bottom style="thin">
          <color rgb="FFCC00FF"/>
        </bottom>
        <vertical/>
        <horizontal/>
      </border>
    </dxf>
    <dxf>
      <font>
        <b/>
        <i/>
        <color rgb="FFFF0000"/>
      </font>
      <fill>
        <patternFill>
          <bgColor rgb="FFFFC000"/>
        </patternFill>
      </fill>
      <border>
        <left/>
        <right/>
        <top/>
        <bottom/>
      </border>
    </dxf>
    <dxf>
      <font>
        <b/>
        <i val="0"/>
        <color rgb="FFFF00FF"/>
      </font>
      <fill>
        <patternFill>
          <bgColor rgb="FF00B0F0"/>
        </patternFill>
      </fill>
    </dxf>
    <dxf>
      <font>
        <b/>
        <i val="0"/>
        <color rgb="FFCC00FF"/>
      </font>
      <fill>
        <patternFill>
          <bgColor rgb="FF00B0F0"/>
        </patternFill>
      </fill>
    </dxf>
    <dxf>
      <font>
        <b/>
        <i/>
        <color rgb="FFFF0000"/>
      </font>
      <fill>
        <patternFill>
          <bgColor rgb="FFFFFF00"/>
        </patternFill>
      </fill>
    </dxf>
    <dxf>
      <font>
        <b/>
        <i/>
        <color rgb="FF008000"/>
      </font>
      <fill>
        <patternFill>
          <bgColor rgb="FFFFFF00"/>
        </patternFill>
      </fill>
      <border>
        <left style="thin">
          <color rgb="FFFF0000"/>
        </left>
        <right style="thin">
          <color rgb="FFFF0000"/>
        </right>
        <top style="thin">
          <color rgb="FFFF0000"/>
        </top>
        <bottom style="thin">
          <color rgb="FFFF0000"/>
        </bottom>
        <vertical/>
        <horizontal/>
      </border>
    </dxf>
    <dxf>
      <font>
        <b/>
        <i val="0"/>
        <color rgb="FFFF0000"/>
      </font>
      <fill>
        <patternFill>
          <bgColor theme="5" tint="0.39994506668294322"/>
        </patternFill>
      </fill>
      <border>
        <left style="thin">
          <color rgb="FFFF0000"/>
        </left>
        <right style="thin">
          <color rgb="FFFF0000"/>
        </right>
        <top style="thin">
          <color rgb="FFFF0000"/>
        </top>
        <bottom style="thin">
          <color rgb="FFFF0000"/>
        </bottom>
        <vertical/>
        <horizontal/>
      </border>
    </dxf>
    <dxf>
      <fill>
        <patternFill>
          <bgColor theme="2" tint="-0.499984740745262"/>
        </patternFill>
      </fill>
    </dxf>
    <dxf>
      <fill>
        <patternFill>
          <bgColor theme="2" tint="-0.499984740745262"/>
        </patternFill>
      </fill>
    </dxf>
    <dxf>
      <font>
        <b/>
        <i/>
        <color rgb="FF008000"/>
      </font>
      <fill>
        <patternFill>
          <bgColor theme="9" tint="0.59996337778862885"/>
        </patternFill>
      </fill>
    </dxf>
    <dxf>
      <font>
        <b/>
        <i/>
        <color rgb="FFFF0000"/>
      </font>
    </dxf>
    <dxf>
      <font>
        <b/>
        <i/>
        <color rgb="FFCC00FF"/>
      </font>
      <fill>
        <patternFill>
          <bgColor rgb="FFFFC000"/>
        </patternFill>
      </fill>
    </dxf>
    <dxf>
      <font>
        <b/>
        <i val="0"/>
        <color auto="1"/>
      </font>
      <fill>
        <patternFill>
          <bgColor rgb="FFFF0000"/>
        </patternFill>
      </fill>
      <border>
        <left style="thin">
          <color rgb="FFFF0000"/>
        </left>
        <right style="thin">
          <color rgb="FFFF0000"/>
        </right>
        <top style="thin">
          <color rgb="FFFF0000"/>
        </top>
        <bottom style="thin">
          <color rgb="FFFF0000"/>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color rgb="FF008000"/>
      </font>
      <fill>
        <patternFill>
          <bgColor rgb="FFFFC000"/>
        </patternFill>
      </fill>
    </dxf>
    <dxf>
      <font>
        <b/>
        <i/>
        <color rgb="FF008000"/>
      </font>
      <fill>
        <patternFill patternType="solid">
          <bgColor theme="0" tint="-0.14996795556505021"/>
        </patternFill>
      </fill>
    </dxf>
    <dxf>
      <font>
        <b/>
        <i/>
        <color rgb="FFFF0000"/>
      </font>
    </dxf>
    <dxf>
      <font>
        <b/>
        <i/>
        <color rgb="FFCC00FF"/>
      </font>
      <fill>
        <patternFill>
          <bgColor rgb="FFFFC000"/>
        </patternFill>
      </fill>
    </dxf>
    <dxf>
      <font>
        <b/>
        <i val="0"/>
        <color auto="1"/>
      </font>
      <fill>
        <patternFill>
          <bgColor rgb="FFFF0000"/>
        </patternFill>
      </fill>
      <border>
        <left style="thin">
          <color rgb="FFFF0000"/>
        </left>
        <right style="thin">
          <color rgb="FFFF0000"/>
        </right>
        <top style="thin">
          <color rgb="FFFF0000"/>
        </top>
        <bottom style="thin">
          <color rgb="FFFF0000"/>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92D050"/>
      </font>
      <fill>
        <patternFill>
          <bgColor theme="0"/>
        </patternFill>
      </fill>
    </dxf>
    <dxf>
      <fill>
        <patternFill>
          <bgColor rgb="FFFFC000"/>
        </patternFill>
      </fill>
    </dxf>
    <dxf>
      <font>
        <b/>
        <i/>
        <color rgb="FF008000"/>
      </font>
      <fill>
        <patternFill>
          <bgColor theme="6" tint="0.59996337778862885"/>
        </patternFill>
      </fill>
    </dxf>
    <dxf>
      <font>
        <b/>
        <i/>
        <color rgb="FFFF0000"/>
      </font>
    </dxf>
    <dxf>
      <font>
        <b/>
        <i/>
        <color rgb="FFCC00FF"/>
      </font>
      <fill>
        <patternFill>
          <bgColor rgb="FFFFC000"/>
        </patternFill>
      </fill>
    </dxf>
    <dxf>
      <font>
        <b/>
        <i val="0"/>
        <color auto="1"/>
      </font>
      <fill>
        <patternFill>
          <bgColor rgb="FFFF0000"/>
        </patternFill>
      </fill>
      <border>
        <left style="thin">
          <color rgb="FFFF0000"/>
        </left>
        <right style="thin">
          <color rgb="FFFF0000"/>
        </right>
        <top style="thin">
          <color rgb="FFFF0000"/>
        </top>
        <bottom style="thin">
          <color rgb="FFFF0000"/>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ont>
        <b/>
        <i/>
        <color rgb="FF008000"/>
      </font>
      <fill>
        <patternFill>
          <bgColor rgb="FFFFC000"/>
        </patternFill>
      </fill>
    </dxf>
    <dxf>
      <fill>
        <patternFill>
          <bgColor theme="7" tint="0.39994506668294322"/>
        </patternFill>
      </fill>
    </dxf>
    <dxf>
      <font>
        <b/>
        <i val="0"/>
        <color rgb="FF002060"/>
      </font>
      <fill>
        <patternFill>
          <bgColor theme="7" tint="0.59996337778862885"/>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rgb="FFFFC000"/>
        </patternFill>
      </fill>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b/>
        <i/>
        <color rgb="FFFF0000"/>
      </font>
      <fill>
        <patternFill>
          <bgColor rgb="FFFFFF00"/>
        </patternFill>
      </fill>
    </dxf>
    <dxf>
      <font>
        <b/>
        <i/>
        <color theme="0"/>
      </font>
      <fill>
        <patternFill>
          <bgColor rgb="FFFF0000"/>
        </patternFill>
      </fill>
    </dxf>
    <dxf>
      <fill>
        <patternFill>
          <bgColor rgb="FFFFFF00"/>
        </patternFill>
      </fill>
    </dxf>
    <dxf>
      <font>
        <b/>
        <i val="0"/>
        <color rgb="FFFF0000"/>
      </font>
      <fill>
        <patternFill>
          <bgColor rgb="FFFFFF00"/>
        </patternFill>
      </fill>
    </dxf>
    <dxf>
      <font>
        <color auto="1"/>
      </font>
      <fill>
        <patternFill>
          <bgColor theme="1"/>
        </patternFill>
      </fill>
    </dxf>
    <dxf>
      <font>
        <b/>
        <i val="0"/>
        <color auto="1"/>
      </font>
      <fill>
        <patternFill>
          <bgColor theme="1"/>
        </patternFill>
      </fill>
      <border>
        <left style="thin">
          <color auto="1"/>
        </left>
        <right style="thin">
          <color auto="1"/>
        </right>
        <top style="thin">
          <color auto="1"/>
        </top>
        <bottom style="thin">
          <color auto="1"/>
        </bottom>
        <vertical/>
        <horizontal/>
      </border>
    </dxf>
    <dxf>
      <font>
        <color theme="0"/>
      </font>
    </dxf>
    <dxf>
      <font>
        <b/>
        <i val="0"/>
        <color theme="9" tint="-0.499984740745262"/>
      </font>
      <fill>
        <patternFill>
          <bgColor theme="9" tint="0.59996337778862885"/>
        </patternFill>
      </fill>
    </dxf>
    <dxf>
      <font>
        <b/>
        <i val="0"/>
        <color theme="6" tint="-0.499984740745262"/>
      </font>
      <fill>
        <patternFill>
          <bgColor theme="6" tint="0.59996337778862885"/>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color rgb="FFFF0000"/>
      </font>
      <fill>
        <patternFill>
          <bgColor rgb="FFFFFF00"/>
        </patternFill>
      </fill>
    </dxf>
    <dxf>
      <font>
        <b/>
        <i val="0"/>
        <color theme="9" tint="-0.499984740745262"/>
      </font>
      <fill>
        <patternFill>
          <bgColor theme="9" tint="0.59996337778862885"/>
        </patternFill>
      </fill>
    </dxf>
    <dxf>
      <font>
        <b/>
        <i val="0"/>
        <color theme="6" tint="-0.499984740745262"/>
      </font>
      <fill>
        <patternFill>
          <bgColor theme="6" tint="0.59996337778862885"/>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color rgb="FFFF0000"/>
      </font>
      <fill>
        <patternFill>
          <bgColor rgb="FFFFFF00"/>
        </patternFill>
      </fill>
    </dxf>
    <dxf>
      <font>
        <b/>
        <i val="0"/>
        <color theme="9" tint="-0.499984740745262"/>
      </font>
      <fill>
        <patternFill>
          <bgColor theme="9" tint="0.59996337778862885"/>
        </patternFill>
      </fill>
    </dxf>
    <dxf>
      <font>
        <b/>
        <i val="0"/>
        <color theme="6" tint="-0.499984740745262"/>
      </font>
      <fill>
        <patternFill>
          <bgColor theme="6" tint="0.59996337778862885"/>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color rgb="FFFF0000"/>
      </font>
      <fill>
        <patternFill>
          <bgColor rgb="FFFFFF00"/>
        </patternFill>
      </fill>
    </dxf>
    <dxf>
      <font>
        <b/>
        <i val="0"/>
        <color theme="9" tint="-0.499984740745262"/>
      </font>
      <fill>
        <patternFill>
          <bgColor theme="9" tint="0.59996337778862885"/>
        </patternFill>
      </fill>
    </dxf>
    <dxf>
      <font>
        <b/>
        <i val="0"/>
        <color theme="6" tint="-0.499984740745262"/>
      </font>
      <fill>
        <patternFill>
          <bgColor theme="6" tint="0.59996337778862885"/>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color rgb="FFFF0000"/>
      </font>
      <fill>
        <patternFill>
          <bgColor rgb="FFFFFF00"/>
        </patternFill>
      </fill>
    </dxf>
    <dxf>
      <font>
        <b/>
        <i val="0"/>
        <color theme="9" tint="-0.499984740745262"/>
      </font>
      <fill>
        <patternFill>
          <bgColor theme="9" tint="0.59996337778862885"/>
        </patternFill>
      </fill>
    </dxf>
    <dxf>
      <font>
        <b/>
        <i val="0"/>
        <color theme="6" tint="-0.499984740745262"/>
      </font>
      <fill>
        <patternFill>
          <bgColor theme="6" tint="0.59996337778862885"/>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color rgb="FFFF0000"/>
      </font>
      <fill>
        <patternFill>
          <bgColor rgb="FFFFFF00"/>
        </patternFill>
      </fill>
    </dxf>
    <dxf>
      <font>
        <b/>
        <i val="0"/>
        <color theme="9" tint="-0.499984740745262"/>
      </font>
      <fill>
        <patternFill>
          <bgColor theme="9" tint="0.59996337778862885"/>
        </patternFill>
      </fill>
    </dxf>
    <dxf>
      <font>
        <b/>
        <i val="0"/>
        <color theme="6" tint="-0.499984740745262"/>
      </font>
      <fill>
        <patternFill>
          <bgColor theme="6" tint="0.59996337778862885"/>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color rgb="FFFF0000"/>
      </font>
      <fill>
        <patternFill>
          <bgColor rgb="FFFFFF00"/>
        </patternFill>
      </fill>
    </dxf>
    <dxf>
      <font>
        <b/>
        <i val="0"/>
        <color theme="9" tint="-0.499984740745262"/>
      </font>
      <fill>
        <patternFill>
          <bgColor theme="9" tint="0.59996337778862885"/>
        </patternFill>
      </fill>
    </dxf>
    <dxf>
      <font>
        <b/>
        <i val="0"/>
        <color theme="6" tint="-0.499984740745262"/>
      </font>
      <fill>
        <patternFill>
          <bgColor theme="6" tint="0.59996337778862885"/>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color rgb="FFFF0000"/>
      </font>
      <fill>
        <patternFill>
          <bgColor rgb="FFFFFF00"/>
        </patternFill>
      </fill>
    </dxf>
    <dxf>
      <font>
        <b/>
        <i val="0"/>
        <color theme="5" tint="-0.24994659260841701"/>
      </font>
      <fill>
        <patternFill>
          <bgColor theme="9" tint="0.59996337778862885"/>
        </patternFill>
      </fill>
    </dxf>
    <dxf>
      <font>
        <b/>
        <i val="0"/>
        <color theme="6" tint="-0.499984740745262"/>
      </font>
      <fill>
        <patternFill>
          <bgColor theme="6" tint="0.59996337778862885"/>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color rgb="FFFF0000"/>
      </font>
      <fill>
        <patternFill>
          <bgColor rgb="FFFFFF00"/>
        </patternFill>
      </fill>
    </dxf>
    <dxf>
      <font>
        <b/>
        <i val="0"/>
        <color theme="9" tint="-0.499984740745262"/>
      </font>
      <fill>
        <patternFill>
          <bgColor theme="9" tint="0.59996337778862885"/>
        </patternFill>
      </fill>
    </dxf>
    <dxf>
      <font>
        <b/>
        <i val="0"/>
        <color theme="6" tint="-0.499984740745262"/>
      </font>
      <fill>
        <patternFill>
          <bgColor theme="6" tint="0.59996337778862885"/>
        </patternFill>
      </fill>
      <border>
        <left style="thin">
          <color theme="6" tint="-0.499984740745262"/>
        </left>
        <right style="thin">
          <color theme="6" tint="-0.499984740745262"/>
        </right>
        <top style="thin">
          <color theme="6" tint="-0.499984740745262"/>
        </top>
        <bottom style="thin">
          <color theme="6" tint="-0.499984740745262"/>
        </bottom>
        <vertical/>
        <horizontal/>
      </border>
    </dxf>
    <dxf>
      <font>
        <b/>
        <i val="0"/>
        <color rgb="FFFF0000"/>
      </font>
      <fill>
        <patternFill>
          <bgColor rgb="FFFFFF00"/>
        </patternFill>
      </fill>
    </dxf>
    <dxf>
      <font>
        <b/>
        <i val="0"/>
        <color theme="9" tint="-0.499984740745262"/>
      </font>
      <fill>
        <patternFill>
          <bgColor theme="9" tint="0.59996337778862885"/>
        </patternFill>
      </fill>
    </dxf>
    <dxf>
      <font>
        <b/>
        <i val="0"/>
        <color rgb="FFFF0000"/>
      </font>
      <fill>
        <patternFill>
          <bgColor rgb="FFFFFF00"/>
        </patternFill>
      </fill>
    </dxf>
    <dxf>
      <font>
        <color theme="0"/>
      </font>
      <fill>
        <patternFill>
          <bgColor theme="0"/>
        </patternFill>
      </fill>
    </dxf>
    <dxf>
      <font>
        <b/>
        <i/>
        <color rgb="FFFF0000"/>
      </font>
    </dxf>
    <dxf>
      <font>
        <b/>
        <i/>
        <color rgb="FF7030A0"/>
      </font>
      <fill>
        <patternFill>
          <bgColor rgb="FF92D050"/>
        </patternFill>
      </fill>
    </dxf>
    <dxf>
      <font>
        <b/>
        <i/>
        <color rgb="FF7030A0"/>
      </font>
      <fill>
        <patternFill>
          <bgColor rgb="FF92D050"/>
        </patternFill>
      </fill>
    </dxf>
    <dxf>
      <fill>
        <patternFill>
          <bgColor rgb="FF92D050"/>
        </patternFill>
      </fill>
    </dxf>
    <dxf>
      <font>
        <b/>
        <i/>
        <color rgb="FFFF0000"/>
      </font>
    </dxf>
    <dxf>
      <font>
        <color theme="0"/>
      </font>
      <fill>
        <patternFill>
          <bgColor theme="0"/>
        </patternFill>
      </fill>
    </dxf>
    <dxf>
      <font>
        <b/>
        <i val="0"/>
        <color auto="1"/>
      </font>
      <border>
        <top style="thin">
          <color auto="1"/>
        </top>
        <vertical/>
        <horizontal/>
      </border>
    </dxf>
    <dxf>
      <numFmt numFmtId="181" formatCode="&quot;     &quot;00"/>
    </dxf>
    <dxf>
      <font>
        <b/>
        <i val="0"/>
        <color auto="1"/>
      </font>
      <border>
        <top style="thin">
          <color auto="1"/>
        </top>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b/>
        <i val="0"/>
        <color rgb="FFFF0000"/>
      </font>
      <fill>
        <patternFill>
          <bgColor rgb="FFFFC000"/>
        </patternFill>
      </fill>
    </dxf>
    <dxf>
      <font>
        <b/>
        <i val="0"/>
        <color rgb="FF66FFFF"/>
      </font>
    </dxf>
    <dxf>
      <font>
        <b/>
        <i val="0"/>
        <color rgb="FF66FFFF"/>
      </font>
    </dxf>
    <dxf>
      <font>
        <b/>
        <i val="0"/>
        <color rgb="FF66FFFF"/>
      </font>
    </dxf>
    <dxf>
      <font>
        <b/>
        <i val="0"/>
        <color rgb="FF66FFFF"/>
      </font>
    </dxf>
    <dxf>
      <font>
        <b/>
        <i val="0"/>
        <color rgb="FF66FFFF"/>
      </font>
    </dxf>
    <dxf>
      <font>
        <b/>
        <i val="0"/>
        <color rgb="FF66FFFF"/>
      </font>
    </dxf>
    <dxf>
      <font>
        <color rgb="FF66FFFF"/>
      </font>
    </dxf>
    <dxf>
      <font>
        <b/>
        <i/>
        <color rgb="FFFF0000"/>
      </font>
    </dxf>
    <dxf>
      <font>
        <b/>
        <i/>
        <color rgb="FF008000"/>
      </font>
      <fill>
        <patternFill>
          <bgColor theme="4" tint="0.39994506668294322"/>
        </patternFill>
      </fill>
      <border>
        <left style="thin">
          <color rgb="FF002060"/>
        </left>
        <right style="thin">
          <color rgb="FF002060"/>
        </right>
        <top style="thin">
          <color rgb="FF002060"/>
        </top>
        <bottom style="thin">
          <color rgb="FF002060"/>
        </bottom>
        <vertical/>
        <horizontal/>
      </border>
    </dxf>
    <dxf>
      <font>
        <b/>
        <i/>
        <color rgb="FFFF0000"/>
      </font>
    </dxf>
    <dxf>
      <font>
        <b/>
        <i/>
        <color rgb="FFFF0000"/>
      </font>
    </dxf>
    <dxf>
      <font>
        <b/>
        <i/>
        <color rgb="FFFF0000"/>
      </font>
    </dxf>
    <dxf>
      <font>
        <b/>
        <i/>
        <color rgb="FFFF0000"/>
      </font>
    </dxf>
    <dxf>
      <font>
        <b/>
        <i/>
        <color rgb="FFFF0000"/>
      </font>
    </dxf>
    <dxf>
      <font>
        <b/>
        <i/>
        <color rgb="FF7030A0"/>
      </font>
      <fill>
        <patternFill patternType="solid">
          <bgColor theme="7" tint="0.79998168889431442"/>
        </patternFill>
      </fill>
    </dxf>
    <dxf>
      <font>
        <b/>
        <i/>
        <color rgb="FF008000"/>
      </font>
    </dxf>
    <dxf>
      <fill>
        <patternFill>
          <bgColor theme="8" tint="-0.24994659260841701"/>
        </patternFill>
      </fill>
    </dxf>
    <dxf>
      <font>
        <b/>
        <i/>
        <color rgb="FFFF0000"/>
      </font>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ont>
        <b/>
        <i val="0"/>
        <color theme="9" tint="-0.24994659260841701"/>
      </font>
      <fill>
        <patternFill>
          <bgColor theme="9" tint="0.39994506668294322"/>
        </patternFill>
      </fill>
    </dxf>
    <dxf>
      <font>
        <b/>
        <i val="0"/>
        <color theme="9" tint="-0.24994659260841701"/>
      </font>
      <fill>
        <patternFill>
          <bgColor theme="9" tint="0.39994506668294322"/>
        </patternFill>
      </fill>
    </dxf>
    <dxf>
      <font>
        <b/>
        <i val="0"/>
        <color theme="9" tint="-0.24994659260841701"/>
      </font>
      <fill>
        <patternFill>
          <bgColor theme="9" tint="0.39994506668294322"/>
        </patternFill>
      </fill>
    </dxf>
    <dxf>
      <font>
        <b/>
        <i val="0"/>
        <color theme="9" tint="-0.24994659260841701"/>
      </font>
      <fill>
        <patternFill>
          <bgColor theme="9" tint="0.39994506668294322"/>
        </patternFill>
      </fill>
    </dxf>
    <dxf>
      <font>
        <b/>
        <i/>
        <color rgb="FFFFC000"/>
      </font>
    </dxf>
    <dxf>
      <font>
        <color rgb="FFFFEFFF"/>
      </font>
      <fill>
        <patternFill>
          <bgColor rgb="FFFFEFFF"/>
        </patternFill>
      </fill>
      <border>
        <left style="thin">
          <color rgb="FFFFEFFF"/>
        </left>
        <right style="thin">
          <color rgb="FFFFEFFF"/>
        </right>
        <top style="thin">
          <color rgb="FFFFEFFF"/>
        </top>
        <bottom style="thin">
          <color rgb="FFFFEFFF"/>
        </bottom>
        <vertical/>
        <horizontal/>
      </border>
    </dxf>
    <dxf>
      <font>
        <color rgb="FFFFEFFF"/>
      </font>
      <fill>
        <patternFill>
          <bgColor rgb="FFFFEFFF"/>
        </patternFill>
      </fill>
      <border>
        <left style="thin">
          <color rgb="FFFFEFFF"/>
        </left>
        <right style="thin">
          <color rgb="FFFFEFFF"/>
        </right>
        <top style="thin">
          <color rgb="FFFFEFFF"/>
        </top>
        <bottom style="thin">
          <color rgb="FFFFEFFF"/>
        </bottom>
        <vertical/>
        <horizontal/>
      </border>
    </dxf>
    <dxf>
      <font>
        <color rgb="FFFFEFFF"/>
      </font>
      <fill>
        <patternFill>
          <bgColor rgb="FFFFEFFF"/>
        </patternFill>
      </fill>
      <border>
        <left style="thin">
          <color rgb="FFFFEFFF"/>
        </left>
        <right style="thin">
          <color rgb="FFFFEFFF"/>
        </right>
        <top style="thin">
          <color rgb="FFFFEFFF"/>
        </top>
        <bottom style="thin">
          <color rgb="FFFFEFFF"/>
        </bottom>
        <vertical/>
        <horizontal/>
      </border>
    </dxf>
    <dxf>
      <font>
        <b/>
        <i/>
        <color rgb="FF008000"/>
      </font>
    </dxf>
    <dxf>
      <font>
        <b/>
        <i val="0"/>
        <color rgb="FF002060"/>
      </font>
    </dxf>
    <dxf>
      <font>
        <b/>
        <i/>
        <color rgb="FFFF0000"/>
      </font>
      <fill>
        <patternFill>
          <bgColor rgb="FFFFC000"/>
        </patternFill>
      </fill>
    </dxf>
    <dxf>
      <font>
        <b/>
        <i/>
        <color rgb="FFFF0000"/>
      </font>
      <fill>
        <patternFill>
          <bgColor rgb="FFFFC000"/>
        </patternFill>
      </fill>
    </dxf>
    <dxf>
      <fill>
        <patternFill>
          <bgColor theme="9" tint="0.59996337778862885"/>
        </patternFill>
      </fill>
      <border>
        <left style="thin">
          <color auto="1"/>
        </left>
        <right style="thin">
          <color auto="1"/>
        </right>
        <top style="thin">
          <color auto="1"/>
        </top>
        <bottom style="thin">
          <color auto="1"/>
        </bottom>
      </border>
    </dxf>
    <dxf>
      <fill>
        <patternFill>
          <bgColor theme="9" tint="0.59996337778862885"/>
        </patternFill>
      </fill>
      <border>
        <left style="thin">
          <color auto="1"/>
        </left>
        <right style="thin">
          <color auto="1"/>
        </right>
        <top style="thin">
          <color auto="1"/>
        </top>
        <bottom style="thin">
          <color auto="1"/>
        </bottom>
        <vertical/>
        <horizontal/>
      </border>
    </dxf>
    <dxf>
      <font>
        <b/>
        <i/>
        <color rgb="FF92D050"/>
      </font>
    </dxf>
    <dxf>
      <font>
        <b/>
        <i/>
        <color rgb="FF92D050"/>
      </font>
    </dxf>
    <dxf>
      <fill>
        <patternFill>
          <bgColor theme="9" tint="0.59996337778862885"/>
        </patternFill>
      </fill>
      <border>
        <left style="thin">
          <color auto="1"/>
        </left>
        <right style="thin">
          <color auto="1"/>
        </right>
        <top style="thin">
          <color auto="1"/>
        </top>
        <bottom style="thin">
          <color auto="1"/>
        </bottom>
        <vertical/>
        <horizontal/>
      </border>
    </dxf>
    <dxf>
      <font>
        <b/>
        <i val="0"/>
        <color rgb="FF92D050"/>
      </font>
    </dxf>
    <dxf>
      <font>
        <b/>
        <i val="0"/>
        <color rgb="FF92D050"/>
      </font>
    </dxf>
    <dxf>
      <font>
        <b/>
        <i/>
        <color rgb="FFFF0000"/>
      </font>
    </dxf>
    <dxf>
      <font>
        <b/>
        <i/>
        <color rgb="FFFF0000"/>
      </font>
    </dxf>
    <dxf>
      <font>
        <b/>
        <i/>
        <color rgb="FFFF0000"/>
      </font>
    </dxf>
    <dxf>
      <font>
        <b/>
        <i/>
        <color rgb="FF008000"/>
      </font>
    </dxf>
    <dxf>
      <font>
        <b/>
        <i/>
        <color rgb="FF008000"/>
      </font>
    </dxf>
    <dxf>
      <font>
        <b/>
        <i/>
        <color rgb="FFFF0000"/>
      </font>
      <fill>
        <patternFill>
          <bgColor rgb="FFFFC000"/>
        </patternFill>
      </fill>
    </dxf>
    <dxf>
      <font>
        <b/>
        <i val="0"/>
        <color rgb="FF92D050"/>
      </font>
    </dxf>
    <dxf>
      <font>
        <b/>
        <i val="0"/>
        <color rgb="FF92D05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92D050"/>
      </font>
    </dxf>
    <dxf>
      <font>
        <b/>
        <i val="0"/>
        <color rgb="FF92D050"/>
      </font>
    </dxf>
    <dxf>
      <font>
        <b/>
        <i val="0"/>
        <color rgb="FF92D050"/>
      </font>
    </dxf>
    <dxf>
      <font>
        <b/>
        <i val="0"/>
        <color rgb="FF92D050"/>
      </font>
    </dxf>
    <dxf>
      <font>
        <b/>
        <i val="0"/>
        <color rgb="FF92D050"/>
      </font>
    </dxf>
    <dxf>
      <font>
        <b/>
        <i/>
        <color rgb="FFFF0000"/>
      </font>
    </dxf>
    <dxf>
      <fill>
        <patternFill>
          <bgColor theme="9" tint="0.59996337778862885"/>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border>
    </dxf>
    <dxf>
      <fill>
        <patternFill>
          <bgColor theme="9" tint="0.59996337778862885"/>
        </patternFill>
      </fill>
      <border>
        <left style="thin">
          <color auto="1"/>
        </left>
        <right style="thin">
          <color auto="1"/>
        </right>
        <top style="thin">
          <color auto="1"/>
        </top>
        <bottom style="thin">
          <color auto="1"/>
        </bottom>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rgb="FF92D050"/>
      </font>
    </dxf>
    <dxf>
      <font>
        <b/>
        <i/>
        <color rgb="FFFF0000"/>
      </font>
    </dxf>
    <dxf>
      <font>
        <b/>
        <i/>
        <color rgb="FFFFC000"/>
      </font>
    </dxf>
    <dxf>
      <fill>
        <patternFill>
          <bgColor theme="9" tint="0.59996337778862885"/>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val="0"/>
        <color rgb="FF92D050"/>
      </font>
    </dxf>
    <dxf>
      <font>
        <b/>
        <i/>
        <color rgb="FFFFC000"/>
      </font>
    </dxf>
    <dxf>
      <font>
        <b/>
        <i/>
        <color rgb="FFFF0000"/>
      </font>
    </dxf>
    <dxf>
      <font>
        <b/>
        <i val="0"/>
        <color rgb="FF92D050"/>
      </font>
    </dxf>
    <dxf>
      <font>
        <b/>
        <i val="0"/>
        <color rgb="FF92D050"/>
      </font>
    </dxf>
    <dxf>
      <font>
        <b/>
        <i/>
        <color rgb="FFFF0000"/>
      </font>
    </dxf>
    <dxf>
      <font>
        <b/>
        <i/>
        <color rgb="FFFF0000"/>
      </font>
    </dxf>
    <dxf>
      <font>
        <b/>
        <i val="0"/>
        <color rgb="FF92D050"/>
      </font>
    </dxf>
    <dxf>
      <font>
        <b/>
        <i/>
        <color rgb="FFFFC000"/>
      </font>
    </dxf>
    <dxf>
      <font>
        <b/>
        <i/>
        <color rgb="FFFF0000"/>
      </font>
    </dxf>
    <dxf>
      <font>
        <b/>
        <i/>
        <color rgb="FFFFC000"/>
      </font>
    </dxf>
    <dxf>
      <font>
        <b/>
        <i val="0"/>
        <color rgb="FF92D050"/>
      </font>
    </dxf>
    <dxf>
      <font>
        <b/>
        <i/>
        <color rgb="FFFF0000"/>
      </font>
    </dxf>
    <dxf>
      <font>
        <b/>
        <i/>
        <color rgb="FFFF0000"/>
      </font>
    </dxf>
    <dxf>
      <font>
        <b/>
        <i val="0"/>
        <color rgb="FF92D050"/>
      </font>
    </dxf>
    <dxf>
      <font>
        <b/>
        <i val="0"/>
        <color rgb="FF92D050"/>
      </font>
    </dxf>
    <dxf>
      <font>
        <b/>
        <i/>
        <color rgb="FFFF0000"/>
      </font>
    </dxf>
    <dxf>
      <fill>
        <patternFill>
          <bgColor theme="9" tint="0.59996337778862885"/>
        </patternFill>
      </fill>
      <border>
        <left style="thin">
          <color auto="1"/>
        </left>
        <right style="thin">
          <color auto="1"/>
        </right>
        <top style="thin">
          <color auto="1"/>
        </top>
        <bottom style="thin">
          <color auto="1"/>
        </bottom>
        <vertical/>
        <horizontal/>
      </border>
    </dxf>
    <dxf>
      <font>
        <b/>
        <i val="0"/>
        <color rgb="FF92D050"/>
      </font>
      <border>
        <left/>
        <right/>
        <top/>
        <bottom/>
      </border>
    </dxf>
    <dxf>
      <font>
        <b/>
        <i/>
        <color rgb="FFFF0000"/>
      </font>
    </dxf>
    <dxf>
      <font>
        <b/>
        <i val="0"/>
        <color rgb="FF92D050"/>
      </font>
    </dxf>
    <dxf>
      <font>
        <b/>
        <i/>
        <color rgb="FFFF0000"/>
      </font>
    </dxf>
    <dxf>
      <font>
        <b/>
        <i val="0"/>
        <color rgb="FF92D050"/>
      </font>
    </dxf>
    <dxf>
      <font>
        <b/>
        <i/>
        <color rgb="FFFF0000"/>
      </font>
    </dxf>
    <dxf>
      <font>
        <b/>
        <i/>
        <color rgb="FF92D050"/>
      </font>
    </dxf>
    <dxf>
      <font>
        <b/>
        <i/>
        <color rgb="FF92D050"/>
      </font>
    </dxf>
    <dxf>
      <font>
        <b/>
        <i/>
        <color rgb="FF92D050"/>
      </font>
    </dxf>
    <dxf>
      <font>
        <b/>
        <i/>
        <color rgb="FF92D050"/>
      </font>
    </dxf>
    <dxf>
      <font>
        <b/>
        <i val="0"/>
        <color rgb="FF92D050"/>
      </font>
    </dxf>
    <dxf>
      <font>
        <b/>
        <i/>
        <color rgb="FFFF0000"/>
      </font>
    </dxf>
    <dxf>
      <font>
        <b/>
        <i val="0"/>
        <color rgb="FF92D050"/>
      </font>
    </dxf>
    <dxf>
      <font>
        <b/>
        <i/>
        <color rgb="FFFFC000"/>
      </font>
    </dxf>
    <dxf>
      <font>
        <b/>
        <i val="0"/>
        <color rgb="FF92D050"/>
      </font>
    </dxf>
    <dxf>
      <font>
        <b/>
        <i/>
        <color rgb="FFFF0000"/>
      </font>
    </dxf>
    <dxf>
      <font>
        <b/>
        <i val="0"/>
        <color rgb="FF92D050"/>
      </font>
    </dxf>
    <dxf>
      <font>
        <b/>
        <i/>
        <color rgb="FFFFC000"/>
      </font>
    </dxf>
    <dxf>
      <fill>
        <patternFill>
          <bgColor theme="9" tint="0.59996337778862885"/>
        </patternFill>
      </fill>
      <border>
        <left style="thin">
          <color auto="1"/>
        </left>
        <right style="thin">
          <color auto="1"/>
        </right>
        <top style="thin">
          <color auto="1"/>
        </top>
        <bottom style="thin">
          <color auto="1"/>
        </bottom>
        <vertical/>
        <horizontal/>
      </border>
    </dxf>
    <dxf>
      <font>
        <b/>
        <i val="0"/>
        <color rgb="FF92D050"/>
      </font>
    </dxf>
    <dxf>
      <font>
        <b/>
        <i/>
        <color rgb="FFFF0000"/>
      </font>
    </dxf>
    <dxf>
      <font>
        <b/>
        <i/>
        <color rgb="FFFFC000"/>
      </font>
    </dxf>
    <dxf>
      <fill>
        <patternFill>
          <bgColor theme="9" tint="0.59996337778862885"/>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ill>
        <patternFill>
          <bgColor theme="9" tint="0.59996337778862885"/>
        </patternFill>
      </fill>
      <border>
        <left style="thin">
          <color auto="1"/>
        </left>
        <right style="thin">
          <color auto="1"/>
        </right>
        <top style="thin">
          <color auto="1"/>
        </top>
        <bottom style="thin">
          <color auto="1"/>
        </bottom>
        <vertical/>
        <horizontal/>
      </border>
    </dxf>
    <dxf>
      <font>
        <b/>
        <i/>
        <color rgb="FFFFC000"/>
      </font>
    </dxf>
    <dxf>
      <font>
        <b/>
        <i/>
        <color rgb="FFFF0000"/>
      </font>
    </dxf>
    <dxf>
      <font>
        <b/>
        <i/>
        <color rgb="FFFFC000"/>
      </font>
    </dxf>
    <dxf>
      <font>
        <b/>
        <i/>
        <color rgb="FFFF0000"/>
      </font>
    </dxf>
    <dxf>
      <font>
        <b/>
        <i/>
        <color rgb="FFFFC000"/>
      </font>
    </dxf>
    <dxf>
      <font>
        <b/>
        <i/>
        <color rgb="FFFF0000"/>
      </font>
    </dxf>
    <dxf>
      <font>
        <b/>
        <i/>
        <color rgb="FFFFC000"/>
      </font>
    </dxf>
    <dxf>
      <font>
        <b/>
        <i val="0"/>
        <color rgb="FF92D050"/>
      </font>
    </dxf>
    <dxf>
      <font>
        <b/>
        <i/>
        <color rgb="FFFF0000"/>
      </font>
    </dxf>
    <dxf>
      <font>
        <b/>
        <i/>
        <color rgb="FFFFC000"/>
      </font>
    </dxf>
    <dxf>
      <font>
        <b/>
        <i val="0"/>
        <color rgb="FF92D050"/>
      </font>
    </dxf>
    <dxf>
      <font>
        <b/>
        <i/>
        <color rgb="FFFF0000"/>
      </font>
    </dxf>
    <dxf>
      <font>
        <b/>
        <i/>
        <color rgb="FFFFC000"/>
      </font>
    </dxf>
    <dxf>
      <font>
        <b/>
        <i val="0"/>
        <color rgb="FF92D050"/>
      </font>
    </dxf>
    <dxf>
      <font>
        <b/>
        <i/>
        <color rgb="FFFF0000"/>
      </font>
    </dxf>
    <dxf>
      <font>
        <b/>
        <i/>
        <color rgb="FFFF0000"/>
      </font>
    </dxf>
    <dxf>
      <font>
        <b/>
        <i/>
        <color rgb="FFFFC000"/>
      </font>
    </dxf>
    <dxf>
      <font>
        <b/>
        <i/>
        <color rgb="FFFF0000"/>
      </font>
    </dxf>
    <dxf>
      <font>
        <b/>
        <i val="0"/>
        <color rgb="FF92D050"/>
      </font>
    </dxf>
    <dxf>
      <font>
        <b/>
        <i/>
        <color rgb="FFFFC000"/>
      </font>
    </dxf>
    <dxf>
      <font>
        <b/>
        <i val="0"/>
        <color rgb="FF92D050"/>
      </font>
    </dxf>
    <dxf>
      <font>
        <b/>
        <i/>
        <color rgb="FFFFC000"/>
      </font>
    </dxf>
    <dxf>
      <font>
        <b/>
        <i/>
        <color rgb="FFFFC000"/>
      </font>
    </dxf>
    <dxf>
      <font>
        <b/>
        <i/>
        <color rgb="FFFF0000"/>
      </font>
    </dxf>
    <dxf>
      <font>
        <b/>
        <i/>
        <color rgb="FFFFC000"/>
      </font>
    </dxf>
    <dxf>
      <font>
        <b/>
        <i/>
        <color rgb="FFFF0000"/>
      </font>
    </dxf>
    <dxf>
      <font>
        <b/>
        <i/>
        <color rgb="FFFF0000"/>
      </font>
    </dxf>
    <dxf>
      <font>
        <b/>
        <i val="0"/>
        <color rgb="FF92D050"/>
      </font>
    </dxf>
    <dxf>
      <font>
        <b/>
        <i val="0"/>
        <color rgb="FF92D050"/>
      </font>
    </dxf>
    <dxf>
      <font>
        <b/>
        <i/>
        <color rgb="FFFF0000"/>
      </font>
    </dxf>
    <dxf>
      <font>
        <b/>
        <i/>
        <color rgb="FFFF0000"/>
      </font>
    </dxf>
    <dxf>
      <font>
        <b/>
        <i val="0"/>
        <color rgb="FF92D050"/>
      </font>
    </dxf>
    <dxf>
      <font>
        <b/>
        <i/>
        <color rgb="FFFF0000"/>
      </font>
    </dxf>
    <dxf>
      <font>
        <b/>
        <i/>
        <color rgb="FFFF0000"/>
      </font>
    </dxf>
    <dxf>
      <font>
        <b/>
        <i val="0"/>
        <color rgb="FF92D050"/>
      </font>
    </dxf>
    <dxf>
      <font>
        <b/>
        <i/>
        <color rgb="FFFF0000"/>
      </font>
    </dxf>
    <dxf>
      <font>
        <b/>
        <i/>
        <color rgb="FFFF0000"/>
      </font>
    </dxf>
    <dxf>
      <font>
        <b/>
        <i val="0"/>
        <color rgb="FF92D050"/>
      </font>
    </dxf>
    <dxf>
      <font>
        <b/>
        <i/>
        <color rgb="FFFF0000"/>
      </font>
    </dxf>
    <dxf>
      <font>
        <b/>
        <i/>
        <color rgb="FFFF0000"/>
      </font>
    </dxf>
    <dxf>
      <font>
        <b/>
        <i val="0"/>
        <color rgb="FF92D050"/>
      </font>
    </dxf>
    <dxf>
      <font>
        <b/>
        <i/>
        <color rgb="FF008000"/>
      </font>
      <fill>
        <patternFill patternType="solid">
          <bgColor theme="4" tint="0.79998168889431442"/>
        </patternFill>
      </fill>
    </dxf>
    <dxf>
      <font>
        <b/>
        <i/>
        <color rgb="FF123B68"/>
      </font>
    </dxf>
    <dxf>
      <font>
        <b/>
        <i/>
        <color rgb="FFFF0000"/>
      </font>
    </dxf>
    <dxf>
      <font>
        <b/>
        <i/>
        <color rgb="FFFF0000"/>
      </font>
    </dxf>
    <dxf>
      <font>
        <b/>
        <i/>
        <color rgb="FFFF0000"/>
      </font>
    </dxf>
    <dxf>
      <font>
        <b/>
        <i/>
        <color rgb="FFFF0000"/>
      </font>
    </dxf>
    <dxf>
      <font>
        <b/>
        <i/>
        <color rgb="FFFF0000"/>
      </font>
    </dxf>
    <dxf>
      <font>
        <b/>
        <i/>
        <color rgb="FFFF0000"/>
      </font>
    </dxf>
    <dxf>
      <font>
        <b/>
        <i val="0"/>
        <color rgb="FF123B68"/>
      </font>
      <fill>
        <patternFill>
          <bgColor theme="3" tint="0.39994506668294322"/>
        </patternFill>
      </fill>
    </dxf>
    <dxf>
      <font>
        <b/>
        <i/>
        <color rgb="FFFF0000"/>
      </font>
      <fill>
        <patternFill>
          <bgColor rgb="FFFFFF00"/>
        </patternFill>
      </fill>
    </dxf>
    <dxf>
      <font>
        <b/>
        <i val="0"/>
        <color rgb="FF123B68"/>
      </font>
      <fill>
        <patternFill>
          <bgColor theme="3" tint="0.39994506668294322"/>
        </patternFill>
      </fill>
    </dxf>
    <dxf>
      <font>
        <b/>
        <i/>
        <color rgb="FFFF0000"/>
      </font>
      <fill>
        <patternFill>
          <bgColor rgb="FFFFFF00"/>
        </patternFill>
      </fill>
    </dxf>
    <dxf>
      <font>
        <color theme="4" tint="0.79998168889431442"/>
      </font>
      <fill>
        <patternFill>
          <bgColor theme="4" tint="0.79998168889431442"/>
        </patternFill>
      </fill>
    </dxf>
    <dxf>
      <font>
        <b/>
        <i/>
        <color rgb="FFFF0000"/>
      </font>
      <fill>
        <patternFill>
          <bgColor rgb="FFFFFF00"/>
        </patternFill>
      </fill>
    </dxf>
    <dxf>
      <font>
        <b/>
        <i/>
        <color rgb="FFFF0000"/>
      </font>
    </dxf>
    <dxf>
      <font>
        <b/>
        <i/>
        <color rgb="FFFF0000"/>
      </font>
      <fill>
        <patternFill>
          <bgColor rgb="FFFFC000"/>
        </patternFill>
      </fill>
    </dxf>
    <dxf>
      <font>
        <color theme="2" tint="-0.24994659260841701"/>
      </font>
      <fill>
        <patternFill>
          <bgColor theme="2" tint="-0.24994659260841701"/>
        </patternFill>
      </fill>
      <border>
        <left style="thin">
          <color theme="2" tint="-0.24994659260841701"/>
        </left>
        <right style="thin">
          <color theme="2" tint="-0.24994659260841701"/>
        </right>
        <top style="thin">
          <color theme="2" tint="-0.24994659260841701"/>
        </top>
        <bottom style="thin">
          <color theme="2" tint="-0.24994659260841701"/>
        </bottom>
      </border>
    </dxf>
    <dxf>
      <font>
        <b/>
        <i/>
        <color rgb="FFFFFFCC"/>
      </font>
      <fill>
        <patternFill>
          <bgColor rgb="FF663300"/>
        </patternFill>
      </fill>
      <border>
        <left style="thin">
          <color rgb="FF542A00"/>
        </left>
        <right style="thin">
          <color rgb="FF542A00"/>
        </right>
        <top style="thin">
          <color rgb="FF542A00"/>
        </top>
        <bottom style="thin">
          <color rgb="FF542A00"/>
        </bottom>
        <vertical/>
        <horizontal/>
      </border>
    </dxf>
    <dxf>
      <font>
        <b/>
        <i/>
        <color theme="2" tint="-0.24994659260841701"/>
      </font>
      <fill>
        <patternFill>
          <fgColor rgb="FFFFCD9B"/>
          <bgColor theme="2" tint="-0.24994659260841701"/>
        </patternFill>
      </fill>
      <border>
        <left style="thin">
          <color theme="2" tint="-0.24994659260841701"/>
        </left>
        <right style="thin">
          <color theme="2" tint="-0.24994659260841701"/>
        </right>
        <top style="thin">
          <color theme="2" tint="-0.24994659260841701"/>
        </top>
        <bottom style="thin">
          <color theme="2" tint="-0.24994659260841701"/>
        </bottom>
      </border>
    </dxf>
    <dxf>
      <font>
        <b/>
        <i/>
        <color rgb="FFFFFFCC"/>
      </font>
      <fill>
        <patternFill>
          <bgColor rgb="FF663300"/>
        </patternFill>
      </fill>
      <border>
        <left style="thin">
          <color rgb="FF542A00"/>
        </left>
        <right style="thin">
          <color rgb="FF542A00"/>
        </right>
        <top style="thin">
          <color rgb="FF542A00"/>
        </top>
        <bottom style="thin">
          <color rgb="FF542A00"/>
        </bottom>
        <vertical/>
        <horizontal/>
      </border>
    </dxf>
    <dxf>
      <font>
        <b/>
        <i/>
        <color rgb="FF008000"/>
      </font>
      <fill>
        <patternFill>
          <bgColor theme="6" tint="0.39994506668294322"/>
        </patternFill>
      </fill>
      <border>
        <left style="thin">
          <color theme="3" tint="-0.24994659260841701"/>
        </left>
        <right style="thin">
          <color theme="3" tint="-0.24994659260841701"/>
        </right>
        <top style="thin">
          <color theme="3" tint="-0.24994659260841701"/>
        </top>
        <bottom style="thin">
          <color theme="3" tint="-0.24994659260841701"/>
        </bottom>
        <vertical/>
        <horizontal/>
      </border>
    </dxf>
    <dxf>
      <font>
        <b/>
        <i/>
        <color rgb="FFFF0000"/>
      </font>
      <fill>
        <patternFill>
          <bgColor rgb="FFFFFF00"/>
        </patternFill>
      </fill>
      <border>
        <left style="thin">
          <color theme="1"/>
        </left>
        <right style="thin">
          <color theme="1"/>
        </right>
        <top style="thin">
          <color theme="1"/>
        </top>
        <bottom style="thin">
          <color theme="1"/>
        </bottom>
        <vertical/>
        <horizontal/>
      </border>
    </dxf>
    <dxf>
      <font>
        <b/>
        <i/>
        <color rgb="FF008000"/>
      </font>
      <fill>
        <patternFill>
          <bgColor rgb="FFFFC000"/>
        </patternFill>
      </fill>
    </dxf>
    <dxf>
      <font>
        <b/>
        <i val="0"/>
        <color rgb="FF123B68"/>
      </font>
      <fill>
        <patternFill patternType="solid">
          <fgColor auto="1"/>
          <bgColor theme="0"/>
        </patternFill>
      </fill>
    </dxf>
    <dxf>
      <font>
        <b/>
        <i val="0"/>
        <color rgb="FFFF0000"/>
      </font>
    </dxf>
    <dxf>
      <font>
        <b/>
        <i val="0"/>
        <color rgb="FF008000"/>
      </font>
    </dxf>
    <dxf>
      <fill>
        <patternFill>
          <bgColor theme="4" tint="0.59996337778862885"/>
        </patternFill>
      </fill>
      <border>
        <left style="thin">
          <color rgb="FFFF0000"/>
        </left>
        <right style="thin">
          <color rgb="FFFF0000"/>
        </right>
        <top style="thin">
          <color rgb="FFFF0000"/>
        </top>
        <bottom style="thin">
          <color rgb="FFFF0000"/>
        </bottom>
        <vertical/>
        <horizontal/>
      </border>
    </dxf>
    <dxf>
      <fill>
        <patternFill>
          <bgColor theme="4" tint="0.59996337778862885"/>
        </patternFill>
      </fill>
      <border>
        <left style="thin">
          <color rgb="FFFF0000"/>
        </left>
        <right style="thin">
          <color rgb="FFFF0000"/>
        </right>
        <top style="thin">
          <color rgb="FFFF0000"/>
        </top>
        <bottom style="thin">
          <color rgb="FFFF0000"/>
        </bottom>
        <vertical/>
        <horizontal/>
      </border>
    </dxf>
  </dxfs>
  <tableStyles count="0" defaultTableStyle="TableStyleMedium9" defaultPivotStyle="PivotStyleLight16"/>
  <colors>
    <mruColors>
      <color rgb="FFCC0066"/>
      <color rgb="FFFF66FF"/>
      <color rgb="FF008000"/>
      <color rgb="FFCC0099"/>
      <color rgb="FFCC99FF"/>
      <color rgb="FF800000"/>
      <color rgb="FFCC66FF"/>
      <color rgb="FFCCCC00"/>
      <color rgb="FF33CC33"/>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47"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onnections" Target="connection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MACROS!A1"/><Relationship Id="rId1" Type="http://schemas.openxmlformats.org/officeDocument/2006/relationships/image" Target="../media/image1.png"/><Relationship Id="rId4" Type="http://schemas.openxmlformats.org/officeDocument/2006/relationships/image" Target="../media/image3.gif"/></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2" Type="http://schemas.openxmlformats.org/officeDocument/2006/relationships/image" Target="../media/image4.jpeg"/><Relationship Id="rId1" Type="http://schemas.openxmlformats.org/officeDocument/2006/relationships/hyperlink" Target="#ACCUEILACTIVATIONMACROS!A1"/><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hyperlink" Target="http://www.excel-pratique.com/fr/index.php" TargetMode="External"/></Relationships>
</file>

<file path=xl/drawings/_rels/drawing4.xml.rels><?xml version="1.0" encoding="UTF-8" standalone="yes"?>
<Relationships xmlns="http://schemas.openxmlformats.org/package/2006/relationships"><Relationship Id="rId8" Type="http://schemas.openxmlformats.org/officeDocument/2006/relationships/image" Target="../media/image19.png"/><Relationship Id="rId13" Type="http://schemas.openxmlformats.org/officeDocument/2006/relationships/hyperlink" Target="https://www.instagram.com/opoppopyoshikalikalikatou" TargetMode="External"/><Relationship Id="rId3" Type="http://schemas.openxmlformats.org/officeDocument/2006/relationships/hyperlink" Target="#SOMMAIRE!A1"/><Relationship Id="rId7" Type="http://schemas.openxmlformats.org/officeDocument/2006/relationships/image" Target="../media/image18.png"/><Relationship Id="rId12" Type="http://schemas.openxmlformats.org/officeDocument/2006/relationships/image" Target="../media/image22.jpeg"/><Relationship Id="rId2" Type="http://schemas.openxmlformats.org/officeDocument/2006/relationships/image" Target="../media/image16.jpeg"/><Relationship Id="rId1" Type="http://schemas.openxmlformats.org/officeDocument/2006/relationships/hyperlink" Target="mailto:seb.evain@laposte.net?subject=Fichier%20Excel%20%22Magie%22%20:%20Questions%20et%20Opinion" TargetMode="External"/><Relationship Id="rId6" Type="http://schemas.openxmlformats.org/officeDocument/2006/relationships/image" Target="../media/image17.png"/><Relationship Id="rId11" Type="http://schemas.openxmlformats.org/officeDocument/2006/relationships/image" Target="../media/image21.png"/><Relationship Id="rId5" Type="http://schemas.openxmlformats.org/officeDocument/2006/relationships/hyperlink" Target="https://www.facebook.com/opoppopyoshikalikalikatou" TargetMode="External"/><Relationship Id="rId15" Type="http://schemas.openxmlformats.org/officeDocument/2006/relationships/hyperlink" Target="mailto:seb.evain@laposte.net?subject=Fichier%20Excel%20%22Magie%22%20:%20Probl&#232;mes,%20Erreurs%20et%20Incidents" TargetMode="External"/><Relationship Id="rId10" Type="http://schemas.openxmlformats.org/officeDocument/2006/relationships/image" Target="../media/image20.png"/><Relationship Id="rId4" Type="http://schemas.openxmlformats.org/officeDocument/2006/relationships/hyperlink" Target="http://www.excel-pratique.com/fr/telechargements/jeux/magie-interactive-et-jeux-divers-no174.php" TargetMode="External"/><Relationship Id="rId9" Type="http://schemas.openxmlformats.org/officeDocument/2006/relationships/hyperlink" Target="https://twitter.com/Yoshi092388" TargetMode="External"/><Relationship Id="rId14" Type="http://schemas.openxmlformats.org/officeDocument/2006/relationships/image" Target="../media/image2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4.png"/><Relationship Id="rId1" Type="http://schemas.openxmlformats.org/officeDocument/2006/relationships/hyperlink" Target="http://www.excel-pratique.com/fr/telechargements/download.php?id=174" TargetMode="External"/><Relationship Id="rId6" Type="http://schemas.openxmlformats.org/officeDocument/2006/relationships/image" Target="../media/image28.png"/><Relationship Id="rId5" Type="http://schemas.openxmlformats.org/officeDocument/2006/relationships/image" Target="../media/image27.png"/><Relationship Id="rId4" Type="http://schemas.openxmlformats.org/officeDocument/2006/relationships/image" Target="../media/image26.png"/></Relationships>
</file>

<file path=xl/drawings/_rels/drawing6.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hyperlink" Target="http://www.excel-pratique.com/fr/telechargements/telechargements.php?compte=1" TargetMode="External"/><Relationship Id="rId1" Type="http://schemas.openxmlformats.org/officeDocument/2006/relationships/hyperlink" Target="#SOMMAIRE!A1"/><Relationship Id="rId4" Type="http://schemas.openxmlformats.org/officeDocument/2006/relationships/hyperlink" Target="http://www.excel-pratique.com/fr/telechargements/auteur-408.php" TargetMode="External"/></Relationships>
</file>

<file path=xl/drawings/_rels/drawing7.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9.png"/><Relationship Id="rId1" Type="http://schemas.openxmlformats.org/officeDocument/2006/relationships/hyperlink" Target="#SOMMAIRE!A1"/></Relationships>
</file>

<file path=xl/drawings/_rels/drawing8.xml.rels><?xml version="1.0" encoding="UTF-8" standalone="yes"?>
<Relationships xmlns="http://schemas.openxmlformats.org/package/2006/relationships"><Relationship Id="rId1" Type="http://schemas.openxmlformats.org/officeDocument/2006/relationships/hyperlink" Target="#SOMMAIRE!A1"/></Relationships>
</file>

<file path=xl/drawings/_rels/drawing9.xml.rels><?xml version="1.0" encoding="UTF-8" standalone="yes"?>
<Relationships xmlns="http://schemas.openxmlformats.org/package/2006/relationships"><Relationship Id="rId1" Type="http://schemas.openxmlformats.org/officeDocument/2006/relationships/image" Target="../media/image3.gif"/></Relationships>
</file>

<file path=xl/drawings/_rels/drawing10.xml.rels><?xml version="1.0" encoding="UTF-8" standalone="yes"?>
<Relationships xmlns="http://schemas.openxmlformats.org/package/2006/relationships"><Relationship Id="rId8" Type="http://schemas.openxmlformats.org/officeDocument/2006/relationships/image" Target="../media/image37.png"/><Relationship Id="rId13" Type="http://schemas.openxmlformats.org/officeDocument/2006/relationships/image" Target="../media/image42.png"/><Relationship Id="rId18" Type="http://schemas.openxmlformats.org/officeDocument/2006/relationships/image" Target="../media/image47.png"/><Relationship Id="rId3" Type="http://schemas.openxmlformats.org/officeDocument/2006/relationships/image" Target="../media/image32.png"/><Relationship Id="rId7" Type="http://schemas.openxmlformats.org/officeDocument/2006/relationships/image" Target="../media/image36.png"/><Relationship Id="rId12" Type="http://schemas.openxmlformats.org/officeDocument/2006/relationships/image" Target="../media/image41.png"/><Relationship Id="rId17" Type="http://schemas.openxmlformats.org/officeDocument/2006/relationships/image" Target="../media/image46.png"/><Relationship Id="rId2" Type="http://schemas.openxmlformats.org/officeDocument/2006/relationships/image" Target="../media/image31.wmf"/><Relationship Id="rId16" Type="http://schemas.openxmlformats.org/officeDocument/2006/relationships/image" Target="../media/image45.png"/><Relationship Id="rId1" Type="http://schemas.openxmlformats.org/officeDocument/2006/relationships/image" Target="../media/image3.gif"/><Relationship Id="rId6" Type="http://schemas.openxmlformats.org/officeDocument/2006/relationships/image" Target="../media/image35.png"/><Relationship Id="rId11" Type="http://schemas.openxmlformats.org/officeDocument/2006/relationships/image" Target="../media/image40.png"/><Relationship Id="rId5" Type="http://schemas.openxmlformats.org/officeDocument/2006/relationships/image" Target="../media/image34.png"/><Relationship Id="rId15" Type="http://schemas.openxmlformats.org/officeDocument/2006/relationships/image" Target="../media/image44.png"/><Relationship Id="rId10" Type="http://schemas.openxmlformats.org/officeDocument/2006/relationships/image" Target="../media/image39.png"/><Relationship Id="rId4" Type="http://schemas.openxmlformats.org/officeDocument/2006/relationships/image" Target="../media/image33.png"/><Relationship Id="rId9" Type="http://schemas.openxmlformats.org/officeDocument/2006/relationships/image" Target="../media/image38.png"/><Relationship Id="rId14" Type="http://schemas.openxmlformats.org/officeDocument/2006/relationships/image" Target="../media/image4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49.jpeg"/><Relationship Id="rId1" Type="http://schemas.openxmlformats.org/officeDocument/2006/relationships/image" Target="../media/image4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gif"/></Relationships>
</file>

<file path=xl/drawings/_rels/drawing14.xml.rels><?xml version="1.0" encoding="UTF-8" standalone="yes"?>
<Relationships xmlns="http://schemas.openxmlformats.org/package/2006/relationships"><Relationship Id="rId3" Type="http://schemas.openxmlformats.org/officeDocument/2006/relationships/image" Target="../media/image52.png"/><Relationship Id="rId2" Type="http://schemas.openxmlformats.org/officeDocument/2006/relationships/image" Target="../media/image51.jpeg"/><Relationship Id="rId1" Type="http://schemas.openxmlformats.org/officeDocument/2006/relationships/image" Target="../media/image50.png"/><Relationship Id="rId6" Type="http://schemas.openxmlformats.org/officeDocument/2006/relationships/image" Target="../media/image55.png"/><Relationship Id="rId5" Type="http://schemas.openxmlformats.org/officeDocument/2006/relationships/image" Target="../media/image54.emf"/><Relationship Id="rId4" Type="http://schemas.openxmlformats.org/officeDocument/2006/relationships/image" Target="../media/image5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6.png"/></Relationships>
</file>

<file path=xl/drawings/_rels/drawing22.xml.rels><?xml version="1.0" encoding="UTF-8" standalone="yes"?>
<Relationships xmlns="http://schemas.openxmlformats.org/package/2006/relationships"><Relationship Id="rId3" Type="http://schemas.openxmlformats.org/officeDocument/2006/relationships/image" Target="../media/image59.gif"/><Relationship Id="rId2" Type="http://schemas.openxmlformats.org/officeDocument/2006/relationships/image" Target="../media/image58.jpeg"/><Relationship Id="rId1" Type="http://schemas.openxmlformats.org/officeDocument/2006/relationships/image" Target="../media/image57.jpeg"/></Relationships>
</file>

<file path=xl/drawings/_rels/drawing23.xml.rels><?xml version="1.0" encoding="UTF-8" standalone="yes"?>
<Relationships xmlns="http://schemas.openxmlformats.org/package/2006/relationships"><Relationship Id="rId8" Type="http://schemas.openxmlformats.org/officeDocument/2006/relationships/image" Target="../media/image67.png"/><Relationship Id="rId13" Type="http://schemas.openxmlformats.org/officeDocument/2006/relationships/image" Target="../media/image72.png"/><Relationship Id="rId18" Type="http://schemas.openxmlformats.org/officeDocument/2006/relationships/image" Target="../media/image77.png"/><Relationship Id="rId26" Type="http://schemas.openxmlformats.org/officeDocument/2006/relationships/image" Target="../media/image85.png"/><Relationship Id="rId3" Type="http://schemas.openxmlformats.org/officeDocument/2006/relationships/image" Target="../media/image62.png"/><Relationship Id="rId21" Type="http://schemas.openxmlformats.org/officeDocument/2006/relationships/image" Target="../media/image80.png"/><Relationship Id="rId7" Type="http://schemas.openxmlformats.org/officeDocument/2006/relationships/image" Target="../media/image66.png"/><Relationship Id="rId12" Type="http://schemas.openxmlformats.org/officeDocument/2006/relationships/image" Target="../media/image71.png"/><Relationship Id="rId17" Type="http://schemas.openxmlformats.org/officeDocument/2006/relationships/image" Target="../media/image76.png"/><Relationship Id="rId25" Type="http://schemas.openxmlformats.org/officeDocument/2006/relationships/image" Target="../media/image84.png"/><Relationship Id="rId2" Type="http://schemas.openxmlformats.org/officeDocument/2006/relationships/image" Target="../media/image61.gif"/><Relationship Id="rId16" Type="http://schemas.openxmlformats.org/officeDocument/2006/relationships/image" Target="../media/image75.png"/><Relationship Id="rId20" Type="http://schemas.openxmlformats.org/officeDocument/2006/relationships/image" Target="../media/image79.png"/><Relationship Id="rId1" Type="http://schemas.openxmlformats.org/officeDocument/2006/relationships/image" Target="../media/image60.png"/><Relationship Id="rId6" Type="http://schemas.openxmlformats.org/officeDocument/2006/relationships/image" Target="../media/image65.png"/><Relationship Id="rId11" Type="http://schemas.openxmlformats.org/officeDocument/2006/relationships/image" Target="../media/image70.png"/><Relationship Id="rId24" Type="http://schemas.openxmlformats.org/officeDocument/2006/relationships/image" Target="../media/image83.png"/><Relationship Id="rId5" Type="http://schemas.openxmlformats.org/officeDocument/2006/relationships/image" Target="../media/image64.png"/><Relationship Id="rId15" Type="http://schemas.openxmlformats.org/officeDocument/2006/relationships/image" Target="../media/image74.png"/><Relationship Id="rId23" Type="http://schemas.openxmlformats.org/officeDocument/2006/relationships/image" Target="../media/image82.png"/><Relationship Id="rId10" Type="http://schemas.openxmlformats.org/officeDocument/2006/relationships/image" Target="../media/image69.png"/><Relationship Id="rId19" Type="http://schemas.openxmlformats.org/officeDocument/2006/relationships/image" Target="../media/image78.png"/><Relationship Id="rId4" Type="http://schemas.openxmlformats.org/officeDocument/2006/relationships/image" Target="../media/image63.png"/><Relationship Id="rId9" Type="http://schemas.openxmlformats.org/officeDocument/2006/relationships/image" Target="../media/image68.png"/><Relationship Id="rId14" Type="http://schemas.openxmlformats.org/officeDocument/2006/relationships/image" Target="../media/image73.png"/><Relationship Id="rId22" Type="http://schemas.openxmlformats.org/officeDocument/2006/relationships/image" Target="../media/image81.png"/></Relationships>
</file>

<file path=xl/drawings/_rels/drawing25.xml.rels><?xml version="1.0" encoding="UTF-8" standalone="yes"?>
<Relationships xmlns="http://schemas.openxmlformats.org/package/2006/relationships"><Relationship Id="rId3" Type="http://schemas.openxmlformats.org/officeDocument/2006/relationships/image" Target="../media/image88.jpeg"/><Relationship Id="rId2" Type="http://schemas.openxmlformats.org/officeDocument/2006/relationships/image" Target="../media/image87.gif"/><Relationship Id="rId1" Type="http://schemas.openxmlformats.org/officeDocument/2006/relationships/image" Target="../media/image86.jpeg"/></Relationships>
</file>

<file path=xl/drawings/_rels/drawing27.xml.rels><?xml version="1.0" encoding="UTF-8" standalone="yes"?>
<Relationships xmlns="http://schemas.openxmlformats.org/package/2006/relationships"><Relationship Id="rId3" Type="http://schemas.openxmlformats.org/officeDocument/2006/relationships/image" Target="../media/image91.jpeg"/><Relationship Id="rId2" Type="http://schemas.openxmlformats.org/officeDocument/2006/relationships/image" Target="../media/image90.jpeg"/><Relationship Id="rId1" Type="http://schemas.openxmlformats.org/officeDocument/2006/relationships/image" Target="../media/image89.jpeg"/></Relationships>
</file>

<file path=xl/drawings/_rels/drawing33.xml.rels><?xml version="1.0" encoding="UTF-8" standalone="yes"?>
<Relationships xmlns="http://schemas.openxmlformats.org/package/2006/relationships"><Relationship Id="rId8" Type="http://schemas.openxmlformats.org/officeDocument/2006/relationships/image" Target="../media/image100.jpeg"/><Relationship Id="rId13" Type="http://schemas.openxmlformats.org/officeDocument/2006/relationships/image" Target="../media/image105.jpeg"/><Relationship Id="rId18" Type="http://schemas.openxmlformats.org/officeDocument/2006/relationships/image" Target="../media/image110.png"/><Relationship Id="rId3" Type="http://schemas.openxmlformats.org/officeDocument/2006/relationships/image" Target="../media/image95.png"/><Relationship Id="rId7" Type="http://schemas.openxmlformats.org/officeDocument/2006/relationships/image" Target="../media/image99.jpeg"/><Relationship Id="rId12" Type="http://schemas.openxmlformats.org/officeDocument/2006/relationships/image" Target="../media/image104.jpeg"/><Relationship Id="rId17" Type="http://schemas.openxmlformats.org/officeDocument/2006/relationships/image" Target="../media/image109.jpeg"/><Relationship Id="rId2" Type="http://schemas.openxmlformats.org/officeDocument/2006/relationships/image" Target="../media/image94.jpeg"/><Relationship Id="rId16" Type="http://schemas.openxmlformats.org/officeDocument/2006/relationships/image" Target="../media/image108.jpeg"/><Relationship Id="rId1" Type="http://schemas.openxmlformats.org/officeDocument/2006/relationships/image" Target="../media/image93.jpeg"/><Relationship Id="rId6" Type="http://schemas.openxmlformats.org/officeDocument/2006/relationships/image" Target="../media/image98.jpeg"/><Relationship Id="rId11" Type="http://schemas.openxmlformats.org/officeDocument/2006/relationships/image" Target="../media/image103.gif"/><Relationship Id="rId5" Type="http://schemas.openxmlformats.org/officeDocument/2006/relationships/image" Target="../media/image97.jpeg"/><Relationship Id="rId15" Type="http://schemas.openxmlformats.org/officeDocument/2006/relationships/image" Target="../media/image107.jpeg"/><Relationship Id="rId10" Type="http://schemas.openxmlformats.org/officeDocument/2006/relationships/image" Target="../media/image102.jpeg"/><Relationship Id="rId4" Type="http://schemas.openxmlformats.org/officeDocument/2006/relationships/image" Target="../media/image96.png"/><Relationship Id="rId9" Type="http://schemas.openxmlformats.org/officeDocument/2006/relationships/image" Target="../media/image101.jpeg"/><Relationship Id="rId14" Type="http://schemas.openxmlformats.org/officeDocument/2006/relationships/image" Target="../media/image106.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112.png"/><Relationship Id="rId2" Type="http://schemas.openxmlformats.org/officeDocument/2006/relationships/image" Target="../media/image111.png"/><Relationship Id="rId1" Type="http://schemas.openxmlformats.org/officeDocument/2006/relationships/hyperlink" Target="http://www.ouverture-facile.com/plug/jeu.html" TargetMode="External"/><Relationship Id="rId5" Type="http://schemas.openxmlformats.org/officeDocument/2006/relationships/image" Target="../media/image113.png"/><Relationship Id="rId4" Type="http://schemas.openxmlformats.org/officeDocument/2006/relationships/hyperlink" Target="#SOMMAIRE!A1"/></Relationships>
</file>

<file path=xl/drawings/_rels/drawing37.xml.rels><?xml version="1.0" encoding="UTF-8" standalone="yes"?>
<Relationships xmlns="http://schemas.openxmlformats.org/package/2006/relationships"><Relationship Id="rId1" Type="http://schemas.openxmlformats.org/officeDocument/2006/relationships/image" Target="../media/image49.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0.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92.jpeg"/></Relationships>
</file>

<file path=xl/drawings/drawing1.xml><?xml version="1.0" encoding="utf-8"?>
<xdr:wsDr xmlns:xdr="http://schemas.openxmlformats.org/drawingml/2006/spreadsheetDrawing" xmlns:a="http://schemas.openxmlformats.org/drawingml/2006/main">
  <xdr:twoCellAnchor editAs="oneCell">
    <xdr:from>
      <xdr:col>0</xdr:col>
      <xdr:colOff>4114802</xdr:colOff>
      <xdr:row>0</xdr:row>
      <xdr:rowOff>1</xdr:rowOff>
    </xdr:from>
    <xdr:to>
      <xdr:col>0</xdr:col>
      <xdr:colOff>13011149</xdr:colOff>
      <xdr:row>0</xdr:row>
      <xdr:rowOff>5200649</xdr:rowOff>
    </xdr:to>
    <xdr:pic>
      <xdr:nvPicPr>
        <xdr:cNvPr id="74753" name="Picture 1" descr="Image du Blog magnolias.centerblog.net"/>
        <xdr:cNvPicPr>
          <a:picLocks noChangeAspect="1" noChangeArrowheads="1"/>
        </xdr:cNvPicPr>
      </xdr:nvPicPr>
      <xdr:blipFill>
        <a:blip xmlns:r="http://schemas.openxmlformats.org/officeDocument/2006/relationships" r:embed="rId1" cstate="print">
          <a:duotone>
            <a:schemeClr val="accent6">
              <a:shade val="45000"/>
              <a:satMod val="135000"/>
            </a:schemeClr>
            <a:prstClr val="white"/>
          </a:duotone>
        </a:blip>
        <a:srcRect/>
        <a:stretch>
          <a:fillRect/>
        </a:stretch>
      </xdr:blipFill>
      <xdr:spPr bwMode="auto">
        <a:xfrm>
          <a:off x="4114802" y="1"/>
          <a:ext cx="8896347" cy="5200648"/>
        </a:xfrm>
        <a:prstGeom prst="rect">
          <a:avLst/>
        </a:prstGeom>
        <a:noFill/>
      </xdr:spPr>
    </xdr:pic>
    <xdr:clientData/>
  </xdr:twoCellAnchor>
  <xdr:twoCellAnchor>
    <xdr:from>
      <xdr:col>0</xdr:col>
      <xdr:colOff>3813854</xdr:colOff>
      <xdr:row>0</xdr:row>
      <xdr:rowOff>1862904</xdr:rowOff>
    </xdr:from>
    <xdr:to>
      <xdr:col>0</xdr:col>
      <xdr:colOff>8471579</xdr:colOff>
      <xdr:row>0</xdr:row>
      <xdr:rowOff>2609122</xdr:rowOff>
    </xdr:to>
    <xdr:sp macro="" textlink="">
      <xdr:nvSpPr>
        <xdr:cNvPr id="10" name="Rectangle à coins arrondis 9"/>
        <xdr:cNvSpPr/>
      </xdr:nvSpPr>
      <xdr:spPr>
        <a:xfrm flipH="1">
          <a:off x="3813854" y="1862904"/>
          <a:ext cx="4657725" cy="746218"/>
        </a:xfrm>
        <a:prstGeom prst="wedgeRoundRectCallout">
          <a:avLst>
            <a:gd name="adj1" fmla="val -50139"/>
            <a:gd name="adj2" fmla="val -20384"/>
            <a:gd name="adj3" fmla="val 16667"/>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l"/>
          <a:r>
            <a:rPr lang="fr-FR" sz="1200" b="1" i="1">
              <a:solidFill>
                <a:schemeClr val="bg1"/>
              </a:solidFill>
            </a:rPr>
            <a:t>Pour</a:t>
          </a:r>
          <a:r>
            <a:rPr lang="fr-FR" sz="1200" b="1" i="1" baseline="0">
              <a:solidFill>
                <a:schemeClr val="bg1"/>
              </a:solidFill>
            </a:rPr>
            <a:t> profiter pleinement des fonctionnalités du fichier Excel, </a:t>
          </a:r>
        </a:p>
        <a:p>
          <a:pPr algn="l"/>
          <a:r>
            <a:rPr lang="fr-FR" sz="1200" b="1" i="1" baseline="0">
              <a:solidFill>
                <a:schemeClr val="bg1"/>
              </a:solidFill>
            </a:rPr>
            <a:t>veuillez "</a:t>
          </a:r>
          <a:r>
            <a:rPr lang="fr-FR" sz="1200" b="1" i="1" baseline="0">
              <a:solidFill>
                <a:srgbClr val="FFC000"/>
              </a:solidFill>
            </a:rPr>
            <a:t>activer les macros</a:t>
          </a:r>
          <a:r>
            <a:rPr lang="fr-FR" sz="1200" b="1" i="1" baseline="0">
              <a:solidFill>
                <a:schemeClr val="bg1"/>
              </a:solidFill>
            </a:rPr>
            <a:t>". Pour en savoir plus, cliquez sur la loupe</a:t>
          </a:r>
          <a:endParaRPr lang="fr-FR" sz="1200" b="1" i="1">
            <a:solidFill>
              <a:schemeClr val="bg1"/>
            </a:solidFill>
          </a:endParaRPr>
        </a:p>
      </xdr:txBody>
    </xdr:sp>
    <xdr:clientData/>
  </xdr:twoCellAnchor>
  <xdr:twoCellAnchor editAs="oneCell">
    <xdr:from>
      <xdr:col>0</xdr:col>
      <xdr:colOff>8233453</xdr:colOff>
      <xdr:row>0</xdr:row>
      <xdr:rowOff>2127220</xdr:rowOff>
    </xdr:from>
    <xdr:to>
      <xdr:col>0</xdr:col>
      <xdr:colOff>9233578</xdr:colOff>
      <xdr:row>0</xdr:row>
      <xdr:rowOff>3127345</xdr:rowOff>
    </xdr:to>
    <xdr:pic>
      <xdr:nvPicPr>
        <xdr:cNvPr id="15" name="Picture 1" descr="C:\Users\Yoshi\AppData\Local\Microsoft\Windows\Temporary Internet Files\Content.IE5\L4P537WG\loupe-recherche-50px[1].png">
          <a:hlinkClick xmlns:r="http://schemas.openxmlformats.org/officeDocument/2006/relationships" r:id="rId2"/>
        </xdr:cNvPr>
        <xdr:cNvPicPr>
          <a:picLocks noChangeAspect="1" noChangeArrowheads="1"/>
        </xdr:cNvPicPr>
      </xdr:nvPicPr>
      <xdr:blipFill>
        <a:blip xmlns:r="http://schemas.openxmlformats.org/officeDocument/2006/relationships" r:embed="rId3" cstate="print"/>
        <a:srcRect/>
        <a:stretch>
          <a:fillRect/>
        </a:stretch>
      </xdr:blipFill>
      <xdr:spPr bwMode="auto">
        <a:xfrm>
          <a:off x="8233453" y="2127220"/>
          <a:ext cx="1000125" cy="1000125"/>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0</xdr:col>
      <xdr:colOff>2876550</xdr:colOff>
      <xdr:row>0</xdr:row>
      <xdr:rowOff>1543050</xdr:rowOff>
    </xdr:from>
    <xdr:to>
      <xdr:col>0</xdr:col>
      <xdr:colOff>4328205</xdr:colOff>
      <xdr:row>0</xdr:row>
      <xdr:rowOff>3176161</xdr:rowOff>
    </xdr:to>
    <xdr:pic>
      <xdr:nvPicPr>
        <xdr:cNvPr id="16" name="Picture 2" descr="C:\Users\EVAINSE\AppData\Local\Microsoft\Windows\Temporary Internet Files\Content.IE5\8AVGDFKB\MM900365301[1].gif"/>
        <xdr:cNvPicPr>
          <a:picLocks noChangeAspect="1" noChangeArrowheads="1"/>
        </xdr:cNvPicPr>
      </xdr:nvPicPr>
      <xdr:blipFill>
        <a:blip xmlns:r="http://schemas.openxmlformats.org/officeDocument/2006/relationships" r:embed="rId4" cstate="print"/>
        <a:srcRect/>
        <a:stretch>
          <a:fillRect/>
        </a:stretch>
      </xdr:blipFill>
      <xdr:spPr bwMode="auto">
        <a:xfrm>
          <a:off x="2876550" y="1543050"/>
          <a:ext cx="1451655" cy="1633111"/>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0</xdr:col>
      <xdr:colOff>0</xdr:colOff>
      <xdr:row>0</xdr:row>
      <xdr:rowOff>0</xdr:rowOff>
    </xdr:from>
    <xdr:to>
      <xdr:col>0</xdr:col>
      <xdr:colOff>5810248</xdr:colOff>
      <xdr:row>0</xdr:row>
      <xdr:rowOff>3396569</xdr:rowOff>
    </xdr:to>
    <xdr:pic>
      <xdr:nvPicPr>
        <xdr:cNvPr id="17" name="Picture 1" descr="Image du Blog magnolias.centerblog.net"/>
        <xdr:cNvPicPr>
          <a:picLocks noChangeAspect="1" noChangeArrowheads="1"/>
        </xdr:cNvPicPr>
      </xdr:nvPicPr>
      <xdr:blipFill>
        <a:blip xmlns:r="http://schemas.openxmlformats.org/officeDocument/2006/relationships" r:embed="rId1" cstate="print">
          <a:duotone>
            <a:schemeClr val="accent5">
              <a:shade val="45000"/>
              <a:satMod val="135000"/>
            </a:schemeClr>
            <a:prstClr val="white"/>
          </a:duotone>
        </a:blip>
        <a:srcRect/>
        <a:stretch>
          <a:fillRect/>
        </a:stretch>
      </xdr:blipFill>
      <xdr:spPr bwMode="auto">
        <a:xfrm rot="10800000">
          <a:off x="0" y="0"/>
          <a:ext cx="5810248" cy="3396569"/>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10820401</xdr:colOff>
      <xdr:row>4</xdr:row>
      <xdr:rowOff>1209676</xdr:rowOff>
    </xdr:from>
    <xdr:to>
      <xdr:col>1</xdr:col>
      <xdr:colOff>11610975</xdr:colOff>
      <xdr:row>4</xdr:row>
      <xdr:rowOff>1466850</xdr:rowOff>
    </xdr:to>
    <xdr:sp macro="" textlink="">
      <xdr:nvSpPr>
        <xdr:cNvPr id="2" name="Rectangle à coins arrondis 1">
          <a:hlinkClick xmlns:r="http://schemas.openxmlformats.org/officeDocument/2006/relationships" r:id="rId1"/>
        </xdr:cNvPr>
        <xdr:cNvSpPr/>
      </xdr:nvSpPr>
      <xdr:spPr>
        <a:xfrm>
          <a:off x="11115676" y="4343401"/>
          <a:ext cx="790574" cy="257174"/>
        </a:xfrm>
        <a:prstGeom prst="roundRect">
          <a:avLst/>
        </a:prstGeom>
        <a:ln/>
      </xdr:spPr>
      <xdr:style>
        <a:lnRef idx="0">
          <a:schemeClr val="accent3"/>
        </a:lnRef>
        <a:fillRef idx="1003">
          <a:schemeClr val="dk1"/>
        </a:fillRef>
        <a:effectRef idx="3">
          <a:schemeClr val="accent3"/>
        </a:effectRef>
        <a:fontRef idx="minor">
          <a:schemeClr val="lt1"/>
        </a:fontRef>
      </xdr:style>
      <xdr:txBody>
        <a:bodyPr vertOverflow="clip" rtlCol="0" anchor="ctr"/>
        <a:lstStyle/>
        <a:p>
          <a:pPr algn="ctr"/>
          <a:r>
            <a:rPr lang="fr-FR" sz="1200" b="1"/>
            <a:t>Retour </a:t>
          </a:r>
        </a:p>
      </xdr:txBody>
    </xdr:sp>
    <xdr:clientData/>
  </xdr:twoCellAnchor>
  <xdr:twoCellAnchor editAs="oneCell">
    <xdr:from>
      <xdr:col>1</xdr:col>
      <xdr:colOff>171450</xdr:colOff>
      <xdr:row>4</xdr:row>
      <xdr:rowOff>866775</xdr:rowOff>
    </xdr:from>
    <xdr:to>
      <xdr:col>1</xdr:col>
      <xdr:colOff>1038225</xdr:colOff>
      <xdr:row>4</xdr:row>
      <xdr:rowOff>1465262</xdr:rowOff>
    </xdr:to>
    <xdr:pic>
      <xdr:nvPicPr>
        <xdr:cNvPr id="3" name="Picture 4" descr="C:\Users\Yoshi\AppData\Local\Microsoft\Windows\Temporary Internet Files\Content.IE5\L4P537WG\12107060-ilustracion-de-un-smiley-con-un-pulgar-hacia-arriba[1].jpg"/>
        <xdr:cNvPicPr>
          <a:picLocks noChangeAspect="1" noChangeArrowheads="1"/>
        </xdr:cNvPicPr>
      </xdr:nvPicPr>
      <xdr:blipFill>
        <a:blip xmlns:r="http://schemas.openxmlformats.org/officeDocument/2006/relationships" r:embed="rId2" cstate="print">
          <a:clrChange>
            <a:clrFrom>
              <a:srgbClr val="FFFEFB"/>
            </a:clrFrom>
            <a:clrTo>
              <a:srgbClr val="FFFEFB">
                <a:alpha val="0"/>
              </a:srgbClr>
            </a:clrTo>
          </a:clrChange>
          <a:lum/>
        </a:blip>
        <a:srcRect/>
        <a:stretch>
          <a:fillRect/>
        </a:stretch>
      </xdr:blipFill>
      <xdr:spPr bwMode="auto">
        <a:xfrm>
          <a:off x="466725" y="4057650"/>
          <a:ext cx="866775" cy="598487"/>
        </a:xfrm>
        <a:prstGeom prst="rect">
          <a:avLst/>
        </a:prstGeom>
        <a:noFill/>
      </xdr:spPr>
    </xdr:pic>
    <xdr:clientData/>
  </xdr:twoCellAnchor>
  <xdr:twoCellAnchor editAs="oneCell">
    <xdr:from>
      <xdr:col>1</xdr:col>
      <xdr:colOff>4162425</xdr:colOff>
      <xdr:row>2</xdr:row>
      <xdr:rowOff>447675</xdr:rowOff>
    </xdr:from>
    <xdr:to>
      <xdr:col>1</xdr:col>
      <xdr:colOff>8439150</xdr:colOff>
      <xdr:row>2</xdr:row>
      <xdr:rowOff>781050</xdr:rowOff>
    </xdr:to>
    <xdr:pic>
      <xdr:nvPicPr>
        <xdr:cNvPr id="4"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4457700" y="1047750"/>
          <a:ext cx="4276725" cy="333375"/>
        </a:xfrm>
        <a:prstGeom prst="rect">
          <a:avLst/>
        </a:prstGeom>
        <a:noFill/>
        <a:ln w="1">
          <a:noFill/>
          <a:miter lim="800000"/>
          <a:headEnd/>
          <a:tailEnd type="none" w="med" len="med"/>
        </a:ln>
        <a:effectLst/>
      </xdr:spPr>
    </xdr:pic>
    <xdr:clientData/>
  </xdr:twoCellAnchor>
  <xdr:twoCellAnchor editAs="oneCell">
    <xdr:from>
      <xdr:col>1</xdr:col>
      <xdr:colOff>1952625</xdr:colOff>
      <xdr:row>2</xdr:row>
      <xdr:rowOff>895350</xdr:rowOff>
    </xdr:from>
    <xdr:to>
      <xdr:col>1</xdr:col>
      <xdr:colOff>2857500</xdr:colOff>
      <xdr:row>2</xdr:row>
      <xdr:rowOff>1152525</xdr:rowOff>
    </xdr:to>
    <xdr:pic>
      <xdr:nvPicPr>
        <xdr:cNvPr id="5" name="Picture 3"/>
        <xdr:cNvPicPr>
          <a:picLocks noChangeAspect="1" noChangeArrowheads="1"/>
        </xdr:cNvPicPr>
      </xdr:nvPicPr>
      <xdr:blipFill>
        <a:blip xmlns:r="http://schemas.openxmlformats.org/officeDocument/2006/relationships" r:embed="rId4" cstate="print"/>
        <a:srcRect/>
        <a:stretch>
          <a:fillRect/>
        </a:stretch>
      </xdr:blipFill>
      <xdr:spPr bwMode="auto">
        <a:xfrm>
          <a:off x="2247900" y="1495425"/>
          <a:ext cx="904875" cy="257175"/>
        </a:xfrm>
        <a:prstGeom prst="rect">
          <a:avLst/>
        </a:prstGeom>
        <a:noFill/>
        <a:ln w="1">
          <a:noFill/>
          <a:miter lim="800000"/>
          <a:headEnd/>
          <a:tailEnd type="none" w="med" len="med"/>
        </a:ln>
        <a:effectLst/>
      </xdr:spPr>
    </xdr:pic>
    <xdr:clientData/>
  </xdr:twoCellAnchor>
  <xdr:twoCellAnchor editAs="oneCell">
    <xdr:from>
      <xdr:col>1</xdr:col>
      <xdr:colOff>3686175</xdr:colOff>
      <xdr:row>2</xdr:row>
      <xdr:rowOff>895350</xdr:rowOff>
    </xdr:from>
    <xdr:to>
      <xdr:col>1</xdr:col>
      <xdr:colOff>4895850</xdr:colOff>
      <xdr:row>2</xdr:row>
      <xdr:rowOff>1123950</xdr:rowOff>
    </xdr:to>
    <xdr:pic>
      <xdr:nvPicPr>
        <xdr:cNvPr id="6" name="Picture 2"/>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blip>
        <a:srcRect/>
        <a:stretch>
          <a:fillRect/>
        </a:stretch>
      </xdr:blipFill>
      <xdr:spPr bwMode="auto">
        <a:xfrm>
          <a:off x="3981450" y="1495425"/>
          <a:ext cx="1209675" cy="228600"/>
        </a:xfrm>
        <a:prstGeom prst="rect">
          <a:avLst/>
        </a:prstGeom>
        <a:noFill/>
        <a:ln w="1">
          <a:noFill/>
          <a:miter lim="800000"/>
          <a:headEnd/>
          <a:tailEnd type="none" w="med" len="med"/>
        </a:ln>
        <a:effectLst/>
      </xdr:spPr>
    </xdr:pic>
    <xdr:clientData/>
  </xdr:twoCellAnchor>
  <xdr:twoCellAnchor editAs="oneCell">
    <xdr:from>
      <xdr:col>1</xdr:col>
      <xdr:colOff>6543675</xdr:colOff>
      <xdr:row>2</xdr:row>
      <xdr:rowOff>876300</xdr:rowOff>
    </xdr:from>
    <xdr:to>
      <xdr:col>1</xdr:col>
      <xdr:colOff>7267575</xdr:colOff>
      <xdr:row>2</xdr:row>
      <xdr:rowOff>1104900</xdr:rowOff>
    </xdr:to>
    <xdr:pic>
      <xdr:nvPicPr>
        <xdr:cNvPr id="7" name="Picture 1"/>
        <xdr:cNvPicPr>
          <a:picLocks noChangeAspect="1" noChangeArrowheads="1"/>
        </xdr:cNvPicPr>
      </xdr:nvPicPr>
      <xdr:blipFill>
        <a:blip xmlns:r="http://schemas.openxmlformats.org/officeDocument/2006/relationships" r:embed="rId6" cstate="print"/>
        <a:srcRect/>
        <a:stretch>
          <a:fillRect/>
        </a:stretch>
      </xdr:blipFill>
      <xdr:spPr bwMode="auto">
        <a:xfrm>
          <a:off x="6838950" y="1476375"/>
          <a:ext cx="723900" cy="228600"/>
        </a:xfrm>
        <a:prstGeom prst="rect">
          <a:avLst/>
        </a:prstGeom>
        <a:noFill/>
        <a:ln w="1">
          <a:noFill/>
          <a:miter lim="800000"/>
          <a:headEnd/>
          <a:tailEnd type="none" w="med" len="med"/>
        </a:ln>
        <a:effectLst/>
      </xdr:spPr>
    </xdr:pic>
    <xdr:clientData/>
  </xdr:twoCellAnchor>
  <xdr:twoCellAnchor editAs="oneCell">
    <xdr:from>
      <xdr:col>1</xdr:col>
      <xdr:colOff>1533525</xdr:colOff>
      <xdr:row>3</xdr:row>
      <xdr:rowOff>142875</xdr:rowOff>
    </xdr:from>
    <xdr:to>
      <xdr:col>1</xdr:col>
      <xdr:colOff>1990725</xdr:colOff>
      <xdr:row>3</xdr:row>
      <xdr:rowOff>590550</xdr:rowOff>
    </xdr:to>
    <xdr:pic>
      <xdr:nvPicPr>
        <xdr:cNvPr id="8" name="Picture 3"/>
        <xdr:cNvPicPr>
          <a:picLocks noChangeAspect="1" noChangeArrowheads="1"/>
        </xdr:cNvPicPr>
      </xdr:nvPicPr>
      <xdr:blipFill>
        <a:blip xmlns:r="http://schemas.openxmlformats.org/officeDocument/2006/relationships" r:embed="rId7" cstate="print"/>
        <a:srcRect/>
        <a:stretch>
          <a:fillRect/>
        </a:stretch>
      </xdr:blipFill>
      <xdr:spPr bwMode="auto">
        <a:xfrm>
          <a:off x="1828800" y="2095500"/>
          <a:ext cx="457200" cy="447675"/>
        </a:xfrm>
        <a:prstGeom prst="rect">
          <a:avLst/>
        </a:prstGeom>
        <a:ln>
          <a:noFill/>
        </a:ln>
        <a:effectLst>
          <a:softEdge rad="112500"/>
        </a:effectLst>
      </xdr:spPr>
    </xdr:pic>
    <xdr:clientData/>
  </xdr:twoCellAnchor>
  <xdr:twoCellAnchor editAs="oneCell">
    <xdr:from>
      <xdr:col>1</xdr:col>
      <xdr:colOff>4200525</xdr:colOff>
      <xdr:row>3</xdr:row>
      <xdr:rowOff>342900</xdr:rowOff>
    </xdr:from>
    <xdr:to>
      <xdr:col>1</xdr:col>
      <xdr:colOff>5219700</xdr:colOff>
      <xdr:row>3</xdr:row>
      <xdr:rowOff>561975</xdr:rowOff>
    </xdr:to>
    <xdr:pic>
      <xdr:nvPicPr>
        <xdr:cNvPr id="9" name="Picture 5"/>
        <xdr:cNvPicPr>
          <a:picLocks noChangeAspect="1" noChangeArrowheads="1"/>
        </xdr:cNvPicPr>
      </xdr:nvPicPr>
      <xdr:blipFill>
        <a:blip xmlns:r="http://schemas.openxmlformats.org/officeDocument/2006/relationships" r:embed="rId8" cstate="print"/>
        <a:srcRect/>
        <a:stretch>
          <a:fillRect/>
        </a:stretch>
      </xdr:blipFill>
      <xdr:spPr bwMode="auto">
        <a:xfrm>
          <a:off x="4495800" y="2295525"/>
          <a:ext cx="1019175" cy="219075"/>
        </a:xfrm>
        <a:prstGeom prst="rect">
          <a:avLst/>
        </a:prstGeom>
        <a:noFill/>
        <a:ln w="1">
          <a:noFill/>
          <a:miter lim="800000"/>
          <a:headEnd/>
          <a:tailEnd type="none" w="med" len="med"/>
        </a:ln>
        <a:effectLst/>
      </xdr:spPr>
    </xdr:pic>
    <xdr:clientData/>
  </xdr:twoCellAnchor>
  <xdr:twoCellAnchor editAs="oneCell">
    <xdr:from>
      <xdr:col>1</xdr:col>
      <xdr:colOff>4781550</xdr:colOff>
      <xdr:row>3</xdr:row>
      <xdr:rowOff>561975</xdr:rowOff>
    </xdr:from>
    <xdr:to>
      <xdr:col>1</xdr:col>
      <xdr:colOff>7343775</xdr:colOff>
      <xdr:row>3</xdr:row>
      <xdr:rowOff>771525</xdr:rowOff>
    </xdr:to>
    <xdr:pic>
      <xdr:nvPicPr>
        <xdr:cNvPr id="10" name="Picture 6"/>
        <xdr:cNvPicPr>
          <a:picLocks noChangeAspect="1" noChangeArrowheads="1"/>
        </xdr:cNvPicPr>
      </xdr:nvPicPr>
      <xdr:blipFill>
        <a:blip xmlns:r="http://schemas.openxmlformats.org/officeDocument/2006/relationships" r:embed="rId9" cstate="print">
          <a:clrChange>
            <a:clrFrom>
              <a:srgbClr val="FFFFFF"/>
            </a:clrFrom>
            <a:clrTo>
              <a:srgbClr val="FFFFFF">
                <a:alpha val="0"/>
              </a:srgbClr>
            </a:clrTo>
          </a:clrChange>
        </a:blip>
        <a:srcRect/>
        <a:stretch>
          <a:fillRect/>
        </a:stretch>
      </xdr:blipFill>
      <xdr:spPr bwMode="auto">
        <a:xfrm>
          <a:off x="5076825" y="2514600"/>
          <a:ext cx="2562225" cy="209550"/>
        </a:xfrm>
        <a:prstGeom prst="rect">
          <a:avLst/>
        </a:prstGeom>
        <a:noFill/>
        <a:ln w="1">
          <a:noFill/>
          <a:miter lim="800000"/>
          <a:headEnd/>
          <a:tailEnd type="none" w="med" len="med"/>
        </a:ln>
        <a:effectLst/>
      </xdr:spPr>
    </xdr:pic>
    <xdr:clientData/>
  </xdr:twoCellAnchor>
  <xdr:twoCellAnchor editAs="oneCell">
    <xdr:from>
      <xdr:col>1</xdr:col>
      <xdr:colOff>8010525</xdr:colOff>
      <xdr:row>3</xdr:row>
      <xdr:rowOff>571500</xdr:rowOff>
    </xdr:from>
    <xdr:to>
      <xdr:col>1</xdr:col>
      <xdr:colOff>8734425</xdr:colOff>
      <xdr:row>3</xdr:row>
      <xdr:rowOff>800100</xdr:rowOff>
    </xdr:to>
    <xdr:pic>
      <xdr:nvPicPr>
        <xdr:cNvPr id="11" name="Picture 1"/>
        <xdr:cNvPicPr>
          <a:picLocks noChangeAspect="1" noChangeArrowheads="1"/>
        </xdr:cNvPicPr>
      </xdr:nvPicPr>
      <xdr:blipFill>
        <a:blip xmlns:r="http://schemas.openxmlformats.org/officeDocument/2006/relationships" r:embed="rId6" cstate="print"/>
        <a:srcRect/>
        <a:stretch>
          <a:fillRect/>
        </a:stretch>
      </xdr:blipFill>
      <xdr:spPr bwMode="auto">
        <a:xfrm>
          <a:off x="8305800" y="2400300"/>
          <a:ext cx="723900" cy="228600"/>
        </a:xfrm>
        <a:prstGeom prst="rect">
          <a:avLst/>
        </a:prstGeom>
        <a:noFill/>
        <a:ln w="1">
          <a:noFill/>
          <a:miter lim="800000"/>
          <a:headEnd/>
          <a:tailEnd type="none" w="med" len="med"/>
        </a:ln>
        <a:effectLst/>
      </xdr:spPr>
    </xdr:pic>
    <xdr:clientData/>
  </xdr:twoCellAnchor>
  <xdr:twoCellAnchor editAs="oneCell">
    <xdr:from>
      <xdr:col>1</xdr:col>
      <xdr:colOff>1076325</xdr:colOff>
      <xdr:row>3</xdr:row>
      <xdr:rowOff>742950</xdr:rowOff>
    </xdr:from>
    <xdr:to>
      <xdr:col>1</xdr:col>
      <xdr:colOff>2019300</xdr:colOff>
      <xdr:row>3</xdr:row>
      <xdr:rowOff>1057275</xdr:rowOff>
    </xdr:to>
    <xdr:pic>
      <xdr:nvPicPr>
        <xdr:cNvPr id="12" name="Picture 7"/>
        <xdr:cNvPicPr>
          <a:picLocks noChangeAspect="1" noChangeArrowheads="1"/>
        </xdr:cNvPicPr>
      </xdr:nvPicPr>
      <xdr:blipFill>
        <a:blip xmlns:r="http://schemas.openxmlformats.org/officeDocument/2006/relationships" r:embed="rId10" cstate="print"/>
        <a:srcRect/>
        <a:stretch>
          <a:fillRect/>
        </a:stretch>
      </xdr:blipFill>
      <xdr:spPr bwMode="auto">
        <a:xfrm>
          <a:off x="1371600" y="2695575"/>
          <a:ext cx="942975" cy="314325"/>
        </a:xfrm>
        <a:prstGeom prst="rect">
          <a:avLst/>
        </a:prstGeom>
        <a:noFill/>
        <a:ln w="1">
          <a:noFill/>
          <a:miter lim="800000"/>
          <a:headEnd/>
          <a:tailEnd type="none" w="med" len="med"/>
        </a:ln>
        <a:effectLst/>
      </xdr:spPr>
    </xdr:pic>
    <xdr:clientData/>
  </xdr:twoCellAnchor>
  <xdr:twoCellAnchor editAs="oneCell">
    <xdr:from>
      <xdr:col>1</xdr:col>
      <xdr:colOff>1190625</xdr:colOff>
      <xdr:row>3</xdr:row>
      <xdr:rowOff>1143000</xdr:rowOff>
    </xdr:from>
    <xdr:to>
      <xdr:col>1</xdr:col>
      <xdr:colOff>2133600</xdr:colOff>
      <xdr:row>4</xdr:row>
      <xdr:rowOff>219075</xdr:rowOff>
    </xdr:to>
    <xdr:pic>
      <xdr:nvPicPr>
        <xdr:cNvPr id="13" name="Picture 7"/>
        <xdr:cNvPicPr>
          <a:picLocks noChangeAspect="1" noChangeArrowheads="1"/>
        </xdr:cNvPicPr>
      </xdr:nvPicPr>
      <xdr:blipFill>
        <a:blip xmlns:r="http://schemas.openxmlformats.org/officeDocument/2006/relationships" r:embed="rId10" cstate="print"/>
        <a:srcRect/>
        <a:stretch>
          <a:fillRect/>
        </a:stretch>
      </xdr:blipFill>
      <xdr:spPr bwMode="auto">
        <a:xfrm>
          <a:off x="1485900" y="3095625"/>
          <a:ext cx="942975" cy="314325"/>
        </a:xfrm>
        <a:prstGeom prst="rect">
          <a:avLst/>
        </a:prstGeom>
        <a:noFill/>
        <a:ln w="1">
          <a:noFill/>
          <a:miter lim="800000"/>
          <a:headEnd/>
          <a:tailEnd type="none" w="med" len="med"/>
        </a:ln>
        <a:effectLst/>
      </xdr:spPr>
    </xdr:pic>
    <xdr:clientData/>
  </xdr:twoCellAnchor>
  <xdr:twoCellAnchor editAs="oneCell">
    <xdr:from>
      <xdr:col>1</xdr:col>
      <xdr:colOff>2724150</xdr:colOff>
      <xdr:row>3</xdr:row>
      <xdr:rowOff>1190625</xdr:rowOff>
    </xdr:from>
    <xdr:to>
      <xdr:col>1</xdr:col>
      <xdr:colOff>3952875</xdr:colOff>
      <xdr:row>4</xdr:row>
      <xdr:rowOff>171450</xdr:rowOff>
    </xdr:to>
    <xdr:pic>
      <xdr:nvPicPr>
        <xdr:cNvPr id="14" name="Picture 8"/>
        <xdr:cNvPicPr>
          <a:picLocks noChangeAspect="1" noChangeArrowheads="1"/>
        </xdr:cNvPicPr>
      </xdr:nvPicPr>
      <xdr:blipFill>
        <a:blip xmlns:r="http://schemas.openxmlformats.org/officeDocument/2006/relationships" r:embed="rId11" cstate="print"/>
        <a:srcRect/>
        <a:stretch>
          <a:fillRect/>
        </a:stretch>
      </xdr:blipFill>
      <xdr:spPr bwMode="auto">
        <a:xfrm>
          <a:off x="3019425" y="3143250"/>
          <a:ext cx="1228725" cy="219075"/>
        </a:xfrm>
        <a:prstGeom prst="rect">
          <a:avLst/>
        </a:prstGeom>
        <a:noFill/>
        <a:ln w="1">
          <a:noFill/>
          <a:miter lim="800000"/>
          <a:headEnd/>
          <a:tailEnd type="none" w="med" len="med"/>
        </a:ln>
        <a:effectLst/>
      </xdr:spPr>
    </xdr:pic>
    <xdr:clientData/>
  </xdr:twoCellAnchor>
  <xdr:twoCellAnchor editAs="oneCell">
    <xdr:from>
      <xdr:col>1</xdr:col>
      <xdr:colOff>2809875</xdr:colOff>
      <xdr:row>4</xdr:row>
      <xdr:rowOff>190500</xdr:rowOff>
    </xdr:from>
    <xdr:to>
      <xdr:col>1</xdr:col>
      <xdr:colOff>8010525</xdr:colOff>
      <xdr:row>4</xdr:row>
      <xdr:rowOff>390525</xdr:rowOff>
    </xdr:to>
    <xdr:pic>
      <xdr:nvPicPr>
        <xdr:cNvPr id="15" name="Picture 9"/>
        <xdr:cNvPicPr>
          <a:picLocks noChangeAspect="1" noChangeArrowheads="1"/>
        </xdr:cNvPicPr>
      </xdr:nvPicPr>
      <xdr:blipFill>
        <a:blip xmlns:r="http://schemas.openxmlformats.org/officeDocument/2006/relationships" r:embed="rId12" cstate="print">
          <a:clrChange>
            <a:clrFrom>
              <a:srgbClr val="FFFFFF"/>
            </a:clrFrom>
            <a:clrTo>
              <a:srgbClr val="FFFFFF">
                <a:alpha val="0"/>
              </a:srgbClr>
            </a:clrTo>
          </a:clrChange>
        </a:blip>
        <a:srcRect/>
        <a:stretch>
          <a:fillRect/>
        </a:stretch>
      </xdr:blipFill>
      <xdr:spPr bwMode="auto">
        <a:xfrm>
          <a:off x="3105150" y="3381375"/>
          <a:ext cx="5200650" cy="200025"/>
        </a:xfrm>
        <a:prstGeom prst="rect">
          <a:avLst/>
        </a:prstGeom>
        <a:noFill/>
        <a:ln w="1">
          <a:noFill/>
          <a:miter lim="800000"/>
          <a:headEnd/>
          <a:tailEnd type="none" w="med" len="med"/>
        </a:ln>
        <a:effectLst/>
      </xdr:spPr>
    </xdr:pic>
    <xdr:clientData/>
  </xdr:twoCellAnchor>
  <xdr:twoCellAnchor editAs="oneCell">
    <xdr:from>
      <xdr:col>1</xdr:col>
      <xdr:colOff>8896350</xdr:colOff>
      <xdr:row>4</xdr:row>
      <xdr:rowOff>161925</xdr:rowOff>
    </xdr:from>
    <xdr:to>
      <xdr:col>1</xdr:col>
      <xdr:colOff>9620250</xdr:colOff>
      <xdr:row>4</xdr:row>
      <xdr:rowOff>390525</xdr:rowOff>
    </xdr:to>
    <xdr:pic>
      <xdr:nvPicPr>
        <xdr:cNvPr id="16" name="Picture 1"/>
        <xdr:cNvPicPr>
          <a:picLocks noChangeAspect="1" noChangeArrowheads="1"/>
        </xdr:cNvPicPr>
      </xdr:nvPicPr>
      <xdr:blipFill>
        <a:blip xmlns:r="http://schemas.openxmlformats.org/officeDocument/2006/relationships" r:embed="rId6" cstate="print"/>
        <a:srcRect/>
        <a:stretch>
          <a:fillRect/>
        </a:stretch>
      </xdr:blipFill>
      <xdr:spPr bwMode="auto">
        <a:xfrm>
          <a:off x="9191625" y="3228975"/>
          <a:ext cx="723900" cy="228600"/>
        </a:xfrm>
        <a:prstGeom prst="rect">
          <a:avLst/>
        </a:prstGeom>
        <a:noFill/>
        <a:ln w="1">
          <a:noFill/>
          <a:miter lim="800000"/>
          <a:headEnd/>
          <a:tailEnd type="none" w="med" len="med"/>
        </a:ln>
        <a:effectLst/>
      </xdr:spPr>
    </xdr:pic>
    <xdr:clientData/>
  </xdr:twoCellAnchor>
  <xdr:twoCellAnchor editAs="oneCell">
    <xdr:from>
      <xdr:col>1</xdr:col>
      <xdr:colOff>6800850</xdr:colOff>
      <xdr:row>2</xdr:row>
      <xdr:rowOff>1209675</xdr:rowOff>
    </xdr:from>
    <xdr:to>
      <xdr:col>1</xdr:col>
      <xdr:colOff>7743825</xdr:colOff>
      <xdr:row>3</xdr:row>
      <xdr:rowOff>228600</xdr:rowOff>
    </xdr:to>
    <xdr:pic>
      <xdr:nvPicPr>
        <xdr:cNvPr id="32" name="Picture 7"/>
        <xdr:cNvPicPr>
          <a:picLocks noChangeAspect="1" noChangeArrowheads="1"/>
        </xdr:cNvPicPr>
      </xdr:nvPicPr>
      <xdr:blipFill>
        <a:blip xmlns:r="http://schemas.openxmlformats.org/officeDocument/2006/relationships" r:embed="rId10" cstate="print"/>
        <a:srcRect/>
        <a:stretch>
          <a:fillRect/>
        </a:stretch>
      </xdr:blipFill>
      <xdr:spPr bwMode="auto">
        <a:xfrm>
          <a:off x="7096125" y="1809750"/>
          <a:ext cx="942975" cy="314325"/>
        </a:xfrm>
        <a:prstGeom prst="rect">
          <a:avLst/>
        </a:prstGeom>
        <a:noFill/>
        <a:ln w="1">
          <a:noFill/>
          <a:miter lim="800000"/>
          <a:headEnd/>
          <a:tailEnd type="none" w="med" len="med"/>
        </a:ln>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1390650</xdr:colOff>
      <xdr:row>4</xdr:row>
      <xdr:rowOff>85725</xdr:rowOff>
    </xdr:from>
    <xdr:to>
      <xdr:col>0</xdr:col>
      <xdr:colOff>2305050</xdr:colOff>
      <xdr:row>4</xdr:row>
      <xdr:rowOff>161925</xdr:rowOff>
    </xdr:to>
    <xdr:sp macro="[0]!Feuil28.Contact" textlink="">
      <xdr:nvSpPr>
        <xdr:cNvPr id="2" name="Rectangle 1"/>
        <xdr:cNvSpPr/>
      </xdr:nvSpPr>
      <xdr:spPr>
        <a:xfrm>
          <a:off x="1390650" y="1428750"/>
          <a:ext cx="914400" cy="762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0</xdr:colOff>
      <xdr:row>7</xdr:row>
      <xdr:rowOff>9525</xdr:rowOff>
    </xdr:from>
    <xdr:to>
      <xdr:col>1</xdr:col>
      <xdr:colOff>2447924</xdr:colOff>
      <xdr:row>9</xdr:row>
      <xdr:rowOff>0</xdr:rowOff>
    </xdr:to>
    <xdr:sp macro="[0]!VersSommaire" textlink="">
      <xdr:nvSpPr>
        <xdr:cNvPr id="3" name="Rectangle 2"/>
        <xdr:cNvSpPr/>
      </xdr:nvSpPr>
      <xdr:spPr>
        <a:xfrm>
          <a:off x="2714625" y="2076450"/>
          <a:ext cx="2447924" cy="6762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0</xdr:col>
      <xdr:colOff>1228725</xdr:colOff>
      <xdr:row>7</xdr:row>
      <xdr:rowOff>70817</xdr:rowOff>
    </xdr:from>
    <xdr:to>
      <xdr:col>0</xdr:col>
      <xdr:colOff>1990725</xdr:colOff>
      <xdr:row>7</xdr:row>
      <xdr:rowOff>426141</xdr:rowOff>
    </xdr:to>
    <xdr:pic>
      <xdr:nvPicPr>
        <xdr:cNvPr id="4" name="Picture 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28725" y="2137742"/>
          <a:ext cx="1362075" cy="355324"/>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3162300</xdr:colOff>
      <xdr:row>3</xdr:row>
      <xdr:rowOff>2009775</xdr:rowOff>
    </xdr:from>
    <xdr:to>
      <xdr:col>1</xdr:col>
      <xdr:colOff>3495675</xdr:colOff>
      <xdr:row>3</xdr:row>
      <xdr:rowOff>2171700</xdr:rowOff>
    </xdr:to>
    <xdr:pic>
      <xdr:nvPicPr>
        <xdr:cNvPr id="3" name="Picture 3" descr="C:\Users\Yoshi\AppData\Local\Microsoft\Windows\Temporary Internet Files\Content.IE5\L4P537WG\1301796545_7aee4aef61[1].jpg">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3448050" y="2438400"/>
          <a:ext cx="333375" cy="333375"/>
        </a:xfrm>
        <a:prstGeom prst="rect">
          <a:avLst/>
        </a:prstGeom>
        <a:noFill/>
      </xdr:spPr>
    </xdr:pic>
    <xdr:clientData/>
  </xdr:twoCellAnchor>
  <xdr:twoCellAnchor>
    <xdr:from>
      <xdr:col>1</xdr:col>
      <xdr:colOff>438148</xdr:colOff>
      <xdr:row>3</xdr:row>
      <xdr:rowOff>3009901</xdr:rowOff>
    </xdr:from>
    <xdr:to>
      <xdr:col>1</xdr:col>
      <xdr:colOff>2152649</xdr:colOff>
      <xdr:row>3</xdr:row>
      <xdr:rowOff>3314701</xdr:rowOff>
    </xdr:to>
    <xdr:sp macro="" textlink="">
      <xdr:nvSpPr>
        <xdr:cNvPr id="5" name="Rectangle à coins arrondis 4">
          <a:hlinkClick xmlns:r="http://schemas.openxmlformats.org/officeDocument/2006/relationships" r:id="rId3"/>
        </xdr:cNvPr>
        <xdr:cNvSpPr/>
      </xdr:nvSpPr>
      <xdr:spPr>
        <a:xfrm>
          <a:off x="723898" y="3438526"/>
          <a:ext cx="1714501" cy="304800"/>
        </a:xfrm>
        <a:prstGeom prst="roundRect">
          <a:avLst/>
        </a:prstGeom>
        <a:solidFill>
          <a:schemeClr val="accent5">
            <a:lumMod val="50000"/>
          </a:schemeClr>
        </a:solidFill>
        <a:ln/>
        <a:effectLst>
          <a:glow rad="101600">
            <a:schemeClr val="accent5">
              <a:satMod val="175000"/>
              <a:alpha val="40000"/>
            </a:schemeClr>
          </a:glow>
          <a:outerShdw blurRad="50800" dist="38100" dir="2700000" algn="tl" rotWithShape="0">
            <a:prstClr val="black">
              <a:alpha val="40000"/>
            </a:prstClr>
          </a:outerShdw>
        </a:effectLst>
        <a:scene3d>
          <a:camera prst="orthographicFront">
            <a:rot lat="0" lon="0" rev="0"/>
          </a:camera>
          <a:lightRig rig="threePt" dir="t">
            <a:rot lat="0" lon="0" rev="1200000"/>
          </a:lightRig>
        </a:scene3d>
        <a:sp3d>
          <a:bevelT w="63500" h="25400" prst="artDeco"/>
        </a:sp3d>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200" b="1"/>
            <a:t>Retour au</a:t>
          </a:r>
          <a:r>
            <a:rPr lang="fr-FR" sz="1200" b="1" baseline="0"/>
            <a:t> SOMMAIRE</a:t>
          </a:r>
          <a:endParaRPr lang="fr-FR" sz="1200" b="1"/>
        </a:p>
      </xdr:txBody>
    </xdr:sp>
    <xdr:clientData/>
  </xdr:twoCellAnchor>
  <xdr:twoCellAnchor>
    <xdr:from>
      <xdr:col>2</xdr:col>
      <xdr:colOff>676274</xdr:colOff>
      <xdr:row>3</xdr:row>
      <xdr:rowOff>657225</xdr:rowOff>
    </xdr:from>
    <xdr:to>
      <xdr:col>3</xdr:col>
      <xdr:colOff>409575</xdr:colOff>
      <xdr:row>3</xdr:row>
      <xdr:rowOff>904875</xdr:rowOff>
    </xdr:to>
    <xdr:sp macro="[0]!Message" textlink="">
      <xdr:nvSpPr>
        <xdr:cNvPr id="6" name="Rectangle à coins arrondis 5">
          <a:hlinkClick xmlns:r="http://schemas.openxmlformats.org/officeDocument/2006/relationships" r:id="rId4"/>
        </xdr:cNvPr>
        <xdr:cNvSpPr/>
      </xdr:nvSpPr>
      <xdr:spPr>
        <a:xfrm>
          <a:off x="10229849" y="1085850"/>
          <a:ext cx="495301" cy="24765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scene3d>
            <a:camera prst="orthographicFront">
              <a:rot lat="0" lon="0" rev="0"/>
            </a:camera>
            <a:lightRig rig="contrasting" dir="t">
              <a:rot lat="0" lon="0" rev="4500000"/>
            </a:lightRig>
          </a:scene3d>
          <a:sp3d contourW="6350" prstMaterial="metal">
            <a:bevelT w="127000" h="31750" prst="relaxedInset"/>
            <a:contourClr>
              <a:schemeClr val="accent1">
                <a:shade val="75000"/>
              </a:schemeClr>
            </a:contourClr>
          </a:sp3d>
        </a:bodyPr>
        <a:lstStyle/>
        <a:p>
          <a:pPr algn="ctr"/>
          <a:r>
            <a:rPr lang="fr-FR" sz="1400" b="1" cap="all" spc="0">
              <a:ln w="0"/>
              <a:gradFill flip="none">
                <a:gsLst>
                  <a:gs pos="0">
                    <a:schemeClr val="accent1">
                      <a:tint val="75000"/>
                      <a:shade val="75000"/>
                      <a:satMod val="170000"/>
                    </a:schemeClr>
                  </a:gs>
                  <a:gs pos="49000">
                    <a:schemeClr val="accent1">
                      <a:tint val="88000"/>
                      <a:shade val="65000"/>
                      <a:satMod val="172000"/>
                    </a:schemeClr>
                  </a:gs>
                  <a:gs pos="50000">
                    <a:schemeClr val="accent1">
                      <a:shade val="65000"/>
                      <a:satMod val="130000"/>
                    </a:schemeClr>
                  </a:gs>
                  <a:gs pos="92000">
                    <a:schemeClr val="accent1">
                      <a:shade val="50000"/>
                      <a:satMod val="120000"/>
                    </a:schemeClr>
                  </a:gs>
                  <a:gs pos="100000">
                    <a:schemeClr val="accent1">
                      <a:shade val="48000"/>
                      <a:satMod val="120000"/>
                    </a:schemeClr>
                  </a:gs>
                </a:gsLst>
                <a:lin ang="5400000"/>
              </a:gradFill>
              <a:effectLst>
                <a:reflection blurRad="12700" stA="50000" endPos="50000" dist="5000" dir="5400000" sy="-100000" rotWithShape="0"/>
              </a:effectLst>
            </a:rPr>
            <a:t>ICI</a:t>
          </a:r>
        </a:p>
      </xdr:txBody>
    </xdr:sp>
    <xdr:clientData/>
  </xdr:twoCellAnchor>
  <xdr:twoCellAnchor editAs="oneCell">
    <xdr:from>
      <xdr:col>5</xdr:col>
      <xdr:colOff>359922</xdr:colOff>
      <xdr:row>3</xdr:row>
      <xdr:rowOff>587643</xdr:rowOff>
    </xdr:from>
    <xdr:to>
      <xdr:col>8</xdr:col>
      <xdr:colOff>218905</xdr:colOff>
      <xdr:row>3</xdr:row>
      <xdr:rowOff>750413</xdr:rowOff>
    </xdr:to>
    <xdr:pic macro="[0]!Feuil13.Facebook">
      <xdr:nvPicPr>
        <xdr:cNvPr id="7" name="Image 6" descr="FB.PNG">
          <a:hlinkClick xmlns:r="http://schemas.openxmlformats.org/officeDocument/2006/relationships" r:id="rId5"/>
        </xdr:cNvPr>
        <xdr:cNvPicPr>
          <a:picLocks noChangeAspect="1"/>
        </xdr:cNvPicPr>
      </xdr:nvPicPr>
      <xdr:blipFill>
        <a:blip xmlns:r="http://schemas.openxmlformats.org/officeDocument/2006/relationships" r:embed="rId6" cstate="print"/>
        <a:srcRect l="3573" t="2515" r="4485" b="3502"/>
        <a:stretch>
          <a:fillRect/>
        </a:stretch>
      </xdr:blipFill>
      <xdr:spPr>
        <a:xfrm>
          <a:off x="12200230" y="1019931"/>
          <a:ext cx="218905" cy="219920"/>
        </a:xfrm>
        <a:prstGeom prst="rect">
          <a:avLst/>
        </a:prstGeom>
      </xdr:spPr>
    </xdr:pic>
    <xdr:clientData/>
  </xdr:twoCellAnchor>
  <xdr:twoCellAnchor editAs="oneCell">
    <xdr:from>
      <xdr:col>5</xdr:col>
      <xdr:colOff>373673</xdr:colOff>
      <xdr:row>3</xdr:row>
      <xdr:rowOff>2768285</xdr:rowOff>
    </xdr:from>
    <xdr:to>
      <xdr:col>8</xdr:col>
      <xdr:colOff>219920</xdr:colOff>
      <xdr:row>3</xdr:row>
      <xdr:rowOff>2932284</xdr:rowOff>
    </xdr:to>
    <xdr:pic macro="[0]!Feuil13.Skype">
      <xdr:nvPicPr>
        <xdr:cNvPr id="9" name="Image 8" descr="SK.PNG"/>
        <xdr:cNvPicPr>
          <a:picLocks noChangeAspect="1"/>
        </xdr:cNvPicPr>
      </xdr:nvPicPr>
      <xdr:blipFill>
        <a:blip xmlns:r="http://schemas.openxmlformats.org/officeDocument/2006/relationships" r:embed="rId7" cstate="print"/>
        <a:srcRect l="4672" r="5263" b="2465"/>
        <a:stretch>
          <a:fillRect/>
        </a:stretch>
      </xdr:blipFill>
      <xdr:spPr>
        <a:xfrm>
          <a:off x="12213981" y="3200573"/>
          <a:ext cx="219920" cy="221149"/>
        </a:xfrm>
        <a:prstGeom prst="rect">
          <a:avLst/>
        </a:prstGeom>
      </xdr:spPr>
    </xdr:pic>
    <xdr:clientData/>
  </xdr:twoCellAnchor>
  <xdr:twoCellAnchor editAs="oneCell">
    <xdr:from>
      <xdr:col>5</xdr:col>
      <xdr:colOff>368018</xdr:colOff>
      <xdr:row>3</xdr:row>
      <xdr:rowOff>1894922</xdr:rowOff>
    </xdr:from>
    <xdr:to>
      <xdr:col>8</xdr:col>
      <xdr:colOff>220303</xdr:colOff>
      <xdr:row>3</xdr:row>
      <xdr:rowOff>2059410</xdr:rowOff>
    </xdr:to>
    <xdr:pic macro="[0]!Feuil13.Snapchat">
      <xdr:nvPicPr>
        <xdr:cNvPr id="10" name="Image 9" descr="SN.PNG"/>
        <xdr:cNvPicPr>
          <a:picLocks noChangeAspect="1"/>
        </xdr:cNvPicPr>
      </xdr:nvPicPr>
      <xdr:blipFill>
        <a:blip xmlns:r="http://schemas.openxmlformats.org/officeDocument/2006/relationships" r:embed="rId8" cstate="print"/>
        <a:srcRect t="1333" r="2838" b="3018"/>
        <a:stretch>
          <a:fillRect/>
        </a:stretch>
      </xdr:blipFill>
      <xdr:spPr>
        <a:xfrm>
          <a:off x="12208326" y="2327210"/>
          <a:ext cx="220303" cy="221638"/>
        </a:xfrm>
        <a:prstGeom prst="rect">
          <a:avLst/>
        </a:prstGeom>
      </xdr:spPr>
    </xdr:pic>
    <xdr:clientData/>
  </xdr:twoCellAnchor>
  <xdr:twoCellAnchor editAs="oneCell">
    <xdr:from>
      <xdr:col>5</xdr:col>
      <xdr:colOff>364034</xdr:colOff>
      <xdr:row>3</xdr:row>
      <xdr:rowOff>1024235</xdr:rowOff>
    </xdr:from>
    <xdr:to>
      <xdr:col>8</xdr:col>
      <xdr:colOff>214794</xdr:colOff>
      <xdr:row>3</xdr:row>
      <xdr:rowOff>1187005</xdr:rowOff>
    </xdr:to>
    <xdr:pic macro="[0]!Feuil13.Twitter">
      <xdr:nvPicPr>
        <xdr:cNvPr id="11" name="Image 10" descr="TW.PNG">
          <a:hlinkClick xmlns:r="http://schemas.openxmlformats.org/officeDocument/2006/relationships" r:id="rId9"/>
        </xdr:cNvPr>
        <xdr:cNvPicPr>
          <a:picLocks noChangeAspect="1"/>
        </xdr:cNvPicPr>
      </xdr:nvPicPr>
      <xdr:blipFill>
        <a:blip xmlns:r="http://schemas.openxmlformats.org/officeDocument/2006/relationships" r:embed="rId10" cstate="print"/>
        <a:srcRect l="3399" t="2416" r="6428" b="6119"/>
        <a:stretch>
          <a:fillRect/>
        </a:stretch>
      </xdr:blipFill>
      <xdr:spPr>
        <a:xfrm>
          <a:off x="12204342" y="1456523"/>
          <a:ext cx="214794" cy="219920"/>
        </a:xfrm>
        <a:prstGeom prst="rect">
          <a:avLst/>
        </a:prstGeom>
      </xdr:spPr>
    </xdr:pic>
    <xdr:clientData/>
  </xdr:twoCellAnchor>
  <xdr:twoCellAnchor editAs="oneCell">
    <xdr:from>
      <xdr:col>5</xdr:col>
      <xdr:colOff>372462</xdr:colOff>
      <xdr:row>3</xdr:row>
      <xdr:rowOff>2338022</xdr:rowOff>
    </xdr:from>
    <xdr:to>
      <xdr:col>8</xdr:col>
      <xdr:colOff>219920</xdr:colOff>
      <xdr:row>3</xdr:row>
      <xdr:rowOff>2500792</xdr:rowOff>
    </xdr:to>
    <xdr:pic macro="[0]!Feuil13.Vine">
      <xdr:nvPicPr>
        <xdr:cNvPr id="12" name="Image 11" descr="VN.PNG"/>
        <xdr:cNvPicPr>
          <a:picLocks noChangeAspect="1"/>
        </xdr:cNvPicPr>
      </xdr:nvPicPr>
      <xdr:blipFill>
        <a:blip xmlns:r="http://schemas.openxmlformats.org/officeDocument/2006/relationships" r:embed="rId11" cstate="print"/>
        <a:srcRect l="658" t="1585" r="1813" b="3507"/>
        <a:stretch>
          <a:fillRect/>
        </a:stretch>
      </xdr:blipFill>
      <xdr:spPr>
        <a:xfrm>
          <a:off x="12212770" y="2770310"/>
          <a:ext cx="219920" cy="219920"/>
        </a:xfrm>
        <a:prstGeom prst="rect">
          <a:avLst/>
        </a:prstGeom>
      </xdr:spPr>
    </xdr:pic>
    <xdr:clientData/>
  </xdr:twoCellAnchor>
  <xdr:twoCellAnchor editAs="oneCell">
    <xdr:from>
      <xdr:col>5</xdr:col>
      <xdr:colOff>361951</xdr:colOff>
      <xdr:row>3</xdr:row>
      <xdr:rowOff>3165475</xdr:rowOff>
    </xdr:from>
    <xdr:to>
      <xdr:col>8</xdr:col>
      <xdr:colOff>238124</xdr:colOff>
      <xdr:row>3</xdr:row>
      <xdr:rowOff>3327399</xdr:rowOff>
    </xdr:to>
    <xdr:pic macro="[0]!Feuil13.Periscope">
      <xdr:nvPicPr>
        <xdr:cNvPr id="13" name="Image 12" descr="icon175x175.jpeg"/>
        <xdr:cNvPicPr>
          <a:picLocks noChangeAspect="1"/>
        </xdr:cNvPicPr>
      </xdr:nvPicPr>
      <xdr:blipFill>
        <a:blip xmlns:r="http://schemas.openxmlformats.org/officeDocument/2006/relationships" r:embed="rId12" cstate="print"/>
        <a:stretch>
          <a:fillRect/>
        </a:stretch>
      </xdr:blipFill>
      <xdr:spPr>
        <a:xfrm>
          <a:off x="12201526" y="3594100"/>
          <a:ext cx="238124" cy="238124"/>
        </a:xfrm>
        <a:prstGeom prst="rect">
          <a:avLst/>
        </a:prstGeom>
      </xdr:spPr>
    </xdr:pic>
    <xdr:clientData/>
  </xdr:twoCellAnchor>
  <xdr:twoCellAnchor editAs="oneCell">
    <xdr:from>
      <xdr:col>5</xdr:col>
      <xdr:colOff>342901</xdr:colOff>
      <xdr:row>3</xdr:row>
      <xdr:rowOff>1458690</xdr:rowOff>
    </xdr:from>
    <xdr:to>
      <xdr:col>8</xdr:col>
      <xdr:colOff>238124</xdr:colOff>
      <xdr:row>3</xdr:row>
      <xdr:rowOff>1619249</xdr:rowOff>
    </xdr:to>
    <xdr:pic macro="[0]!Feuil13.Instagram">
      <xdr:nvPicPr>
        <xdr:cNvPr id="14" name="Image 13" descr="nouveau-logo-instagram.jpg">
          <a:hlinkClick xmlns:r="http://schemas.openxmlformats.org/officeDocument/2006/relationships" r:id="rId13"/>
        </xdr:cNvPr>
        <xdr:cNvPicPr>
          <a:picLocks noChangeAspect="1"/>
        </xdr:cNvPicPr>
      </xdr:nvPicPr>
      <xdr:blipFill>
        <a:blip xmlns:r="http://schemas.openxmlformats.org/officeDocument/2006/relationships" r:embed="rId14" cstate="print"/>
        <a:srcRect l="27222" t="13115" r="27222" b="13583"/>
        <a:stretch>
          <a:fillRect/>
        </a:stretch>
      </xdr:blipFill>
      <xdr:spPr>
        <a:xfrm>
          <a:off x="12182476" y="1887315"/>
          <a:ext cx="238124" cy="227234"/>
        </a:xfrm>
        <a:prstGeom prst="rect">
          <a:avLst/>
        </a:prstGeom>
      </xdr:spPr>
    </xdr:pic>
    <xdr:clientData/>
  </xdr:twoCellAnchor>
  <xdr:twoCellAnchor editAs="oneCell">
    <xdr:from>
      <xdr:col>3</xdr:col>
      <xdr:colOff>561975</xdr:colOff>
      <xdr:row>3</xdr:row>
      <xdr:rowOff>1143000</xdr:rowOff>
    </xdr:from>
    <xdr:to>
      <xdr:col>4</xdr:col>
      <xdr:colOff>133350</xdr:colOff>
      <xdr:row>3</xdr:row>
      <xdr:rowOff>1304925</xdr:rowOff>
    </xdr:to>
    <xdr:pic>
      <xdr:nvPicPr>
        <xdr:cNvPr id="16" name="Picture 3-2" descr="C:\Users\Yoshi\AppData\Local\Microsoft\Windows\Temporary Internet Files\Content.IE5\L4P537WG\1301796545_7aee4aef61[1].jpg">
          <a:hlinkClick xmlns:r="http://schemas.openxmlformats.org/officeDocument/2006/relationships" r:id="rId15"/>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duotone>
            <a:prstClr val="black"/>
            <a:srgbClr val="FF0000">
              <a:tint val="45000"/>
              <a:satMod val="400000"/>
            </a:srgbClr>
          </a:duotone>
          <a:lum bright="10000"/>
        </a:blip>
        <a:srcRect/>
        <a:stretch>
          <a:fillRect/>
        </a:stretch>
      </xdr:blipFill>
      <xdr:spPr bwMode="auto">
        <a:xfrm>
          <a:off x="10877550" y="1952625"/>
          <a:ext cx="333375" cy="3333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4124325</xdr:colOff>
      <xdr:row>2</xdr:row>
      <xdr:rowOff>28575</xdr:rowOff>
    </xdr:from>
    <xdr:to>
      <xdr:col>3</xdr:col>
      <xdr:colOff>4611370</xdr:colOff>
      <xdr:row>2</xdr:row>
      <xdr:rowOff>201324</xdr:rowOff>
    </xdr:to>
    <xdr:sp macro="" textlink="">
      <xdr:nvSpPr>
        <xdr:cNvPr id="26" name="Rectangle à coins arrondis 25"/>
        <xdr:cNvSpPr/>
      </xdr:nvSpPr>
      <xdr:spPr>
        <a:xfrm>
          <a:off x="10267950" y="57150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1</xdr:col>
      <xdr:colOff>3114675</xdr:colOff>
      <xdr:row>14</xdr:row>
      <xdr:rowOff>38100</xdr:rowOff>
    </xdr:from>
    <xdr:to>
      <xdr:col>1</xdr:col>
      <xdr:colOff>3601720</xdr:colOff>
      <xdr:row>14</xdr:row>
      <xdr:rowOff>210849</xdr:rowOff>
    </xdr:to>
    <xdr:sp macro="" textlink="">
      <xdr:nvSpPr>
        <xdr:cNvPr id="29" name="Rectangle à coins arrondis 28"/>
        <xdr:cNvSpPr/>
      </xdr:nvSpPr>
      <xdr:spPr>
        <a:xfrm>
          <a:off x="3495675" y="2600325"/>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3</xdr:col>
      <xdr:colOff>2143125</xdr:colOff>
      <xdr:row>5</xdr:row>
      <xdr:rowOff>38100</xdr:rowOff>
    </xdr:from>
    <xdr:to>
      <xdr:col>3</xdr:col>
      <xdr:colOff>2630170</xdr:colOff>
      <xdr:row>5</xdr:row>
      <xdr:rowOff>210849</xdr:rowOff>
    </xdr:to>
    <xdr:sp macro="" textlink="">
      <xdr:nvSpPr>
        <xdr:cNvPr id="18" name="Rectangle à coins arrondis 17"/>
        <xdr:cNvSpPr/>
      </xdr:nvSpPr>
      <xdr:spPr>
        <a:xfrm>
          <a:off x="8286750" y="108585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0</xdr:col>
      <xdr:colOff>110728</xdr:colOff>
      <xdr:row>2</xdr:row>
      <xdr:rowOff>173832</xdr:rowOff>
    </xdr:from>
    <xdr:to>
      <xdr:col>0</xdr:col>
      <xdr:colOff>220266</xdr:colOff>
      <xdr:row>3</xdr:row>
      <xdr:rowOff>35719</xdr:rowOff>
    </xdr:to>
    <xdr:sp macro="[0]!DELNBRMYST" textlink="">
      <xdr:nvSpPr>
        <xdr:cNvPr id="14" name="Ellipse 13"/>
        <xdr:cNvSpPr/>
      </xdr:nvSpPr>
      <xdr:spPr>
        <a:xfrm>
          <a:off x="110728" y="716757"/>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114300</xdr:colOff>
      <xdr:row>5</xdr:row>
      <xdr:rowOff>183357</xdr:rowOff>
    </xdr:from>
    <xdr:to>
      <xdr:col>0</xdr:col>
      <xdr:colOff>223838</xdr:colOff>
      <xdr:row>6</xdr:row>
      <xdr:rowOff>45244</xdr:rowOff>
    </xdr:to>
    <xdr:sp macro="[0]!DELCARTMGQ" textlink="">
      <xdr:nvSpPr>
        <xdr:cNvPr id="15" name="Ellipse 14"/>
        <xdr:cNvSpPr/>
      </xdr:nvSpPr>
      <xdr:spPr>
        <a:xfrm>
          <a:off x="114300" y="1231107"/>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105966</xdr:colOff>
      <xdr:row>8</xdr:row>
      <xdr:rowOff>180975</xdr:rowOff>
    </xdr:from>
    <xdr:to>
      <xdr:col>0</xdr:col>
      <xdr:colOff>215504</xdr:colOff>
      <xdr:row>9</xdr:row>
      <xdr:rowOff>42862</xdr:rowOff>
    </xdr:to>
    <xdr:sp macro="[0]!DELAGE" textlink="">
      <xdr:nvSpPr>
        <xdr:cNvPr id="16" name="Ellipse 15"/>
        <xdr:cNvSpPr/>
      </xdr:nvSpPr>
      <xdr:spPr>
        <a:xfrm>
          <a:off x="105966" y="1733550"/>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113109</xdr:colOff>
      <xdr:row>11</xdr:row>
      <xdr:rowOff>178594</xdr:rowOff>
    </xdr:from>
    <xdr:to>
      <xdr:col>0</xdr:col>
      <xdr:colOff>222647</xdr:colOff>
      <xdr:row>12</xdr:row>
      <xdr:rowOff>40481</xdr:rowOff>
    </xdr:to>
    <xdr:sp macro="[0]!DELADDS" textlink="">
      <xdr:nvSpPr>
        <xdr:cNvPr id="17" name="Ellipse 16"/>
        <xdr:cNvSpPr/>
      </xdr:nvSpPr>
      <xdr:spPr>
        <a:xfrm>
          <a:off x="113109" y="2235994"/>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110727</xdr:colOff>
      <xdr:row>14</xdr:row>
      <xdr:rowOff>182166</xdr:rowOff>
    </xdr:from>
    <xdr:to>
      <xdr:col>0</xdr:col>
      <xdr:colOff>220265</xdr:colOff>
      <xdr:row>15</xdr:row>
      <xdr:rowOff>44053</xdr:rowOff>
    </xdr:to>
    <xdr:sp macro="[0]!DELACM" textlink="">
      <xdr:nvSpPr>
        <xdr:cNvPr id="21" name="Ellipse 20"/>
        <xdr:cNvSpPr/>
      </xdr:nvSpPr>
      <xdr:spPr>
        <a:xfrm>
          <a:off x="110727" y="2744391"/>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119062</xdr:colOff>
      <xdr:row>5</xdr:row>
      <xdr:rowOff>178593</xdr:rowOff>
    </xdr:from>
    <xdr:to>
      <xdr:col>2</xdr:col>
      <xdr:colOff>228600</xdr:colOff>
      <xdr:row>6</xdr:row>
      <xdr:rowOff>40480</xdr:rowOff>
    </xdr:to>
    <xdr:sp macro="[0]!Module30.DELASTROS" textlink="">
      <xdr:nvSpPr>
        <xdr:cNvPr id="22" name="Ellipse 21"/>
        <xdr:cNvSpPr/>
      </xdr:nvSpPr>
      <xdr:spPr>
        <a:xfrm>
          <a:off x="5881687" y="1226343"/>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113109</xdr:colOff>
      <xdr:row>8</xdr:row>
      <xdr:rowOff>178594</xdr:rowOff>
    </xdr:from>
    <xdr:to>
      <xdr:col>2</xdr:col>
      <xdr:colOff>222647</xdr:colOff>
      <xdr:row>9</xdr:row>
      <xdr:rowOff>40481</xdr:rowOff>
    </xdr:to>
    <xdr:sp macro="[0]!DELCALENDRIER" textlink="">
      <xdr:nvSpPr>
        <xdr:cNvPr id="23" name="Ellipse 22"/>
        <xdr:cNvSpPr/>
      </xdr:nvSpPr>
      <xdr:spPr>
        <a:xfrm>
          <a:off x="5875734" y="1731169"/>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113109</xdr:colOff>
      <xdr:row>11</xdr:row>
      <xdr:rowOff>178594</xdr:rowOff>
    </xdr:from>
    <xdr:to>
      <xdr:col>2</xdr:col>
      <xdr:colOff>222647</xdr:colOff>
      <xdr:row>12</xdr:row>
      <xdr:rowOff>40481</xdr:rowOff>
    </xdr:to>
    <xdr:sp macro="[0]!DELREVEL" textlink="">
      <xdr:nvSpPr>
        <xdr:cNvPr id="24" name="Ellipse 23"/>
        <xdr:cNvSpPr/>
      </xdr:nvSpPr>
      <xdr:spPr>
        <a:xfrm>
          <a:off x="5875734" y="2235994"/>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101203</xdr:colOff>
      <xdr:row>2</xdr:row>
      <xdr:rowOff>166688</xdr:rowOff>
    </xdr:from>
    <xdr:to>
      <xdr:col>2</xdr:col>
      <xdr:colOff>210741</xdr:colOff>
      <xdr:row>3</xdr:row>
      <xdr:rowOff>28575</xdr:rowOff>
    </xdr:to>
    <xdr:sp macro="[0]!DELQCG" textlink="">
      <xdr:nvSpPr>
        <xdr:cNvPr id="25" name="Ellipse 24"/>
        <xdr:cNvSpPr/>
      </xdr:nvSpPr>
      <xdr:spPr>
        <a:xfrm>
          <a:off x="5863828" y="709613"/>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113109</xdr:colOff>
      <xdr:row>14</xdr:row>
      <xdr:rowOff>178594</xdr:rowOff>
    </xdr:from>
    <xdr:to>
      <xdr:col>2</xdr:col>
      <xdr:colOff>222647</xdr:colOff>
      <xdr:row>15</xdr:row>
      <xdr:rowOff>40481</xdr:rowOff>
    </xdr:to>
    <xdr:sp macro="[0]!DELHISTOIRE" textlink="">
      <xdr:nvSpPr>
        <xdr:cNvPr id="32" name="Ellipse 31"/>
        <xdr:cNvSpPr/>
      </xdr:nvSpPr>
      <xdr:spPr>
        <a:xfrm>
          <a:off x="5875734" y="2740819"/>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123825</xdr:colOff>
      <xdr:row>0</xdr:row>
      <xdr:rowOff>114300</xdr:rowOff>
    </xdr:from>
    <xdr:to>
      <xdr:col>1</xdr:col>
      <xdr:colOff>272084</xdr:colOff>
      <xdr:row>0</xdr:row>
      <xdr:rowOff>276437</xdr:rowOff>
    </xdr:to>
    <xdr:sp macro="" textlink="">
      <xdr:nvSpPr>
        <xdr:cNvPr id="33" name="Rectangle à coins arrondis 32"/>
        <xdr:cNvSpPr/>
      </xdr:nvSpPr>
      <xdr:spPr>
        <a:xfrm>
          <a:off x="123825" y="114300"/>
          <a:ext cx="529259" cy="162137"/>
        </a:xfrm>
        <a:prstGeom prst="roundRect">
          <a:avLst/>
        </a:prstGeom>
        <a:solidFill>
          <a:srgbClr val="FFC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800" b="1" cap="none" spc="0">
              <a:ln w="11430"/>
              <a:solidFill>
                <a:srgbClr val="FF0000"/>
              </a:solidFill>
              <a:effectLst>
                <a:outerShdw blurRad="50800" dist="39000" dir="5460000" algn="tl">
                  <a:srgbClr val="000000">
                    <a:alpha val="38000"/>
                  </a:srgbClr>
                </a:outerShdw>
              </a:effectLst>
            </a:rPr>
            <a:t>NEW</a:t>
          </a:r>
        </a:p>
      </xdr:txBody>
    </xdr:sp>
    <xdr:clientData/>
  </xdr:twoCellAnchor>
  <xdr:twoCellAnchor>
    <xdr:from>
      <xdr:col>0</xdr:col>
      <xdr:colOff>136525</xdr:colOff>
      <xdr:row>0</xdr:row>
      <xdr:rowOff>130175</xdr:rowOff>
    </xdr:from>
    <xdr:to>
      <xdr:col>1</xdr:col>
      <xdr:colOff>238125</xdr:colOff>
      <xdr:row>0</xdr:row>
      <xdr:rowOff>295275</xdr:rowOff>
    </xdr:to>
    <xdr:sp macro="" textlink="">
      <xdr:nvSpPr>
        <xdr:cNvPr id="37" name="Rectangle à coins arrondis 36"/>
        <xdr:cNvSpPr/>
      </xdr:nvSpPr>
      <xdr:spPr>
        <a:xfrm>
          <a:off x="136525" y="130175"/>
          <a:ext cx="482600" cy="165100"/>
        </a:xfrm>
        <a:prstGeom prst="roundRect">
          <a:avLst/>
        </a:prstGeom>
        <a:solidFill>
          <a:srgbClr val="FFC000"/>
        </a:solidFill>
        <a:ln>
          <a:solidFill>
            <a:srgbClr val="CC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800" b="1" cap="none" spc="0">
              <a:ln w="11430"/>
              <a:solidFill>
                <a:srgbClr val="FF00FF"/>
              </a:solidFill>
              <a:effectLst>
                <a:outerShdw blurRad="50800" dist="39000" dir="5460000" algn="tl">
                  <a:srgbClr val="000000">
                    <a:alpha val="38000"/>
                  </a:srgbClr>
                </a:outerShdw>
              </a:effectLst>
            </a:rPr>
            <a:t>MAJ</a:t>
          </a:r>
        </a:p>
      </xdr:txBody>
    </xdr:sp>
    <xdr:clientData/>
  </xdr:twoCellAnchor>
  <xdr:twoCellAnchor>
    <xdr:from>
      <xdr:col>0</xdr:col>
      <xdr:colOff>152400</xdr:colOff>
      <xdr:row>0</xdr:row>
      <xdr:rowOff>142875</xdr:rowOff>
    </xdr:from>
    <xdr:to>
      <xdr:col>1</xdr:col>
      <xdr:colOff>320675</xdr:colOff>
      <xdr:row>0</xdr:row>
      <xdr:rowOff>307975</xdr:rowOff>
    </xdr:to>
    <xdr:sp macro="[0]!Feuil5.LEGENDE" textlink="">
      <xdr:nvSpPr>
        <xdr:cNvPr id="38" name="Rectangle à coins arrondis 37"/>
        <xdr:cNvSpPr/>
      </xdr:nvSpPr>
      <xdr:spPr>
        <a:xfrm>
          <a:off x="152400" y="142875"/>
          <a:ext cx="549275" cy="165100"/>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0</xdr:col>
      <xdr:colOff>127000</xdr:colOff>
      <xdr:row>0</xdr:row>
      <xdr:rowOff>127000</xdr:rowOff>
    </xdr:from>
    <xdr:to>
      <xdr:col>0</xdr:col>
      <xdr:colOff>128587</xdr:colOff>
      <xdr:row>0</xdr:row>
      <xdr:rowOff>128587</xdr:rowOff>
    </xdr:to>
    <xdr:sp macro="" textlink="">
      <xdr:nvSpPr>
        <xdr:cNvPr id="40" name="Flèche vers le bas 39">
          <a:hlinkClick xmlns:r="http://schemas.openxmlformats.org/officeDocument/2006/relationships" r:id="rId1"/>
        </xdr:cNvPr>
        <xdr:cNvSpPr/>
      </xdr:nvSpPr>
      <xdr:spPr>
        <a:xfrm>
          <a:off x="127000" y="127000"/>
          <a:ext cx="1587" cy="1587"/>
        </a:xfrm>
        <a:prstGeom prst="downArrow">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endParaRPr lang="fr-FR" sz="1100"/>
        </a:p>
      </xdr:txBody>
    </xdr:sp>
    <xdr:clientData fLocksWithSheet="0"/>
  </xdr:twoCellAnchor>
  <xdr:twoCellAnchor>
    <xdr:from>
      <xdr:col>3</xdr:col>
      <xdr:colOff>1314450</xdr:colOff>
      <xdr:row>8</xdr:row>
      <xdr:rowOff>28575</xdr:rowOff>
    </xdr:from>
    <xdr:to>
      <xdr:col>3</xdr:col>
      <xdr:colOff>1801495</xdr:colOff>
      <xdr:row>8</xdr:row>
      <xdr:rowOff>201324</xdr:rowOff>
    </xdr:to>
    <xdr:sp macro="" textlink="">
      <xdr:nvSpPr>
        <xdr:cNvPr id="46" name="Rectangle à coins arrondis 45"/>
        <xdr:cNvSpPr/>
      </xdr:nvSpPr>
      <xdr:spPr>
        <a:xfrm>
          <a:off x="7458075" y="158115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0</xdr:col>
      <xdr:colOff>66675</xdr:colOff>
      <xdr:row>0</xdr:row>
      <xdr:rowOff>82550</xdr:rowOff>
    </xdr:from>
    <xdr:to>
      <xdr:col>1</xdr:col>
      <xdr:colOff>574675</xdr:colOff>
      <xdr:row>0</xdr:row>
      <xdr:rowOff>400050</xdr:rowOff>
    </xdr:to>
    <xdr:sp macro="[0]!LEGENDE" textlink="" fLocksText="0">
      <xdr:nvSpPr>
        <xdr:cNvPr id="57" name="Organigramme : Document 56"/>
        <xdr:cNvSpPr/>
      </xdr:nvSpPr>
      <xdr:spPr>
        <a:xfrm>
          <a:off x="66675" y="82550"/>
          <a:ext cx="889000" cy="317500"/>
        </a:xfrm>
        <a:prstGeom prst="flowChartDocument">
          <a:avLst/>
        </a:prstGeom>
        <a:ln/>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200" b="1">
              <a:solidFill>
                <a:srgbClr val="002060"/>
              </a:solidFill>
              <a:effectLst/>
            </a:rPr>
            <a:t>Légende</a:t>
          </a:r>
        </a:p>
      </xdr:txBody>
    </xdr:sp>
    <xdr:clientData fLocksWithSheet="0" fPrintsWithSheet="0"/>
  </xdr:twoCellAnchor>
  <xdr:twoCellAnchor editAs="absolute">
    <xdr:from>
      <xdr:col>3</xdr:col>
      <xdr:colOff>4895851</xdr:colOff>
      <xdr:row>0</xdr:row>
      <xdr:rowOff>28575</xdr:rowOff>
    </xdr:from>
    <xdr:to>
      <xdr:col>3</xdr:col>
      <xdr:colOff>5295899</xdr:colOff>
      <xdr:row>0</xdr:row>
      <xdr:rowOff>428625</xdr:rowOff>
    </xdr:to>
    <xdr:pic macro="[0]!Fermeture">
      <xdr:nvPicPr>
        <xdr:cNvPr id="60" name="Picture 1" descr="C:\Users\Steven\AppData\Local\Microsoft\Windows\Temporary Internet Files\Content.IE5\CQUU9XYR\large-cancel-close-button-166.6-10442[1].gif"/>
        <xdr:cNvPicPr>
          <a:picLocks noChangeAspect="1" noChangeArrowheads="1"/>
        </xdr:cNvPicPr>
      </xdr:nvPicPr>
      <xdr:blipFill>
        <a:blip xmlns:r="http://schemas.openxmlformats.org/officeDocument/2006/relationships" r:embed="rId2" cstate="print"/>
        <a:srcRect/>
        <a:stretch>
          <a:fillRect/>
        </a:stretch>
      </xdr:blipFill>
      <xdr:spPr bwMode="auto">
        <a:xfrm>
          <a:off x="11039476" y="28575"/>
          <a:ext cx="400048" cy="400050"/>
        </a:xfrm>
        <a:prstGeom prst="rect">
          <a:avLst/>
        </a:prstGeom>
        <a:noFill/>
        <a:effectLst>
          <a:outerShdw blurRad="50800" dist="38100" algn="l" rotWithShape="0">
            <a:schemeClr val="bg1">
              <a:alpha val="0"/>
            </a:schemeClr>
          </a:outerShdw>
        </a:effectLst>
      </xdr:spPr>
    </xdr:pic>
    <xdr:clientData/>
  </xdr:twoCellAnchor>
  <xdr:twoCellAnchor editAs="oneCell">
    <xdr:from>
      <xdr:col>3</xdr:col>
      <xdr:colOff>4438651</xdr:colOff>
      <xdr:row>0</xdr:row>
      <xdr:rowOff>44651</xdr:rowOff>
    </xdr:from>
    <xdr:to>
      <xdr:col>3</xdr:col>
      <xdr:colOff>4848225</xdr:colOff>
      <xdr:row>0</xdr:row>
      <xdr:rowOff>428624</xdr:rowOff>
    </xdr:to>
    <xdr:pic macro="[0]!PARA">
      <xdr:nvPicPr>
        <xdr:cNvPr id="26625" name="Picture 1" descr="C:\Users\Steven\AppData\Local\Microsoft\Windows\INetCache\IE\GQ5W7HZI\120px-Gnome-system-run.svg[1].png"/>
        <xdr:cNvPicPr>
          <a:picLocks noChangeAspect="1" noChangeArrowheads="1"/>
        </xdr:cNvPicPr>
      </xdr:nvPicPr>
      <xdr:blipFill>
        <a:blip xmlns:r="http://schemas.openxmlformats.org/officeDocument/2006/relationships" r:embed="rId3" cstate="print"/>
        <a:srcRect/>
        <a:stretch>
          <a:fillRect/>
        </a:stretch>
      </xdr:blipFill>
      <xdr:spPr bwMode="auto">
        <a:xfrm>
          <a:off x="10582276" y="44651"/>
          <a:ext cx="409574" cy="383973"/>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0</xdr:col>
      <xdr:colOff>28576</xdr:colOff>
      <xdr:row>19</xdr:row>
      <xdr:rowOff>66676</xdr:rowOff>
    </xdr:from>
    <xdr:to>
      <xdr:col>3</xdr:col>
      <xdr:colOff>5314949</xdr:colOff>
      <xdr:row>21</xdr:row>
      <xdr:rowOff>0</xdr:rowOff>
    </xdr:to>
    <xdr:sp macro="[0]!VersBonus" textlink="">
      <xdr:nvSpPr>
        <xdr:cNvPr id="42" name="Rectangle 41"/>
        <xdr:cNvSpPr/>
      </xdr:nvSpPr>
      <xdr:spPr>
        <a:xfrm>
          <a:off x="28576" y="3562351"/>
          <a:ext cx="11429998" cy="25717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129777</xdr:colOff>
      <xdr:row>17</xdr:row>
      <xdr:rowOff>176213</xdr:rowOff>
    </xdr:from>
    <xdr:to>
      <xdr:col>0</xdr:col>
      <xdr:colOff>239315</xdr:colOff>
      <xdr:row>18</xdr:row>
      <xdr:rowOff>38100</xdr:rowOff>
    </xdr:to>
    <xdr:sp macro="[0]!DELILL" textlink="">
      <xdr:nvSpPr>
        <xdr:cNvPr id="50" name="Ellipse 49"/>
        <xdr:cNvSpPr/>
      </xdr:nvSpPr>
      <xdr:spPr>
        <a:xfrm>
          <a:off x="129777" y="3243263"/>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3</xdr:col>
      <xdr:colOff>238125</xdr:colOff>
      <xdr:row>8</xdr:row>
      <xdr:rowOff>47625</xdr:rowOff>
    </xdr:from>
    <xdr:to>
      <xdr:col>3</xdr:col>
      <xdr:colOff>1228725</xdr:colOff>
      <xdr:row>8</xdr:row>
      <xdr:rowOff>190500</xdr:rowOff>
    </xdr:to>
    <xdr:sp macro="[0]!OUVCALENDRIER" textlink="">
      <xdr:nvSpPr>
        <xdr:cNvPr id="39" name="Rectangle 38"/>
        <xdr:cNvSpPr/>
      </xdr:nvSpPr>
      <xdr:spPr>
        <a:xfrm>
          <a:off x="6381750" y="1600200"/>
          <a:ext cx="990600" cy="142875"/>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3</xdr:col>
      <xdr:colOff>247650</xdr:colOff>
      <xdr:row>17</xdr:row>
      <xdr:rowOff>47625</xdr:rowOff>
    </xdr:from>
    <xdr:to>
      <xdr:col>3</xdr:col>
      <xdr:colOff>1504950</xdr:colOff>
      <xdr:row>17</xdr:row>
      <xdr:rowOff>219075</xdr:rowOff>
    </xdr:to>
    <xdr:sp macro="[0]!Ouverture_Facile" textlink="">
      <xdr:nvSpPr>
        <xdr:cNvPr id="41" name="Rectangle 40"/>
        <xdr:cNvSpPr/>
      </xdr:nvSpPr>
      <xdr:spPr>
        <a:xfrm>
          <a:off x="6391275" y="3114675"/>
          <a:ext cx="1257300" cy="17145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0</xdr:col>
      <xdr:colOff>127000</xdr:colOff>
      <xdr:row>0</xdr:row>
      <xdr:rowOff>127000</xdr:rowOff>
    </xdr:from>
    <xdr:to>
      <xdr:col>0</xdr:col>
      <xdr:colOff>128587</xdr:colOff>
      <xdr:row>0</xdr:row>
      <xdr:rowOff>128587</xdr:rowOff>
    </xdr:to>
    <xdr:sp macro="" textlink="">
      <xdr:nvSpPr>
        <xdr:cNvPr id="51" name="Flèche vers le bas 50">
          <a:hlinkClick xmlns:r="http://schemas.openxmlformats.org/officeDocument/2006/relationships" r:id="rId1"/>
        </xdr:cNvPr>
        <xdr:cNvSpPr/>
      </xdr:nvSpPr>
      <xdr:spPr>
        <a:xfrm>
          <a:off x="127000" y="127000"/>
          <a:ext cx="1587" cy="1587"/>
        </a:xfrm>
        <a:prstGeom prst="downArrow">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endParaRPr lang="fr-FR" sz="1100"/>
        </a:p>
      </xdr:txBody>
    </xdr:sp>
    <xdr:clientData fLocksWithSheet="0"/>
  </xdr:twoCellAnchor>
  <xdr:twoCellAnchor editAs="oneCell">
    <xdr:from>
      <xdr:col>3</xdr:col>
      <xdr:colOff>3911598</xdr:colOff>
      <xdr:row>0</xdr:row>
      <xdr:rowOff>85725</xdr:rowOff>
    </xdr:from>
    <xdr:to>
      <xdr:col>3</xdr:col>
      <xdr:colOff>4250867</xdr:colOff>
      <xdr:row>0</xdr:row>
      <xdr:rowOff>368300</xdr:rowOff>
    </xdr:to>
    <xdr:pic macro="[0]!VERIFMAJ">
      <xdr:nvPicPr>
        <xdr:cNvPr id="53" name="Picture 1" descr="C:\Users\Steven\AppData\Local\Microsoft\Windows\INetCache\IE\M3T2QDUU\refresh-154688_640[1].png"/>
        <xdr:cNvPicPr>
          <a:picLocks noChangeAspect="1" noChangeArrowheads="1"/>
        </xdr:cNvPicPr>
      </xdr:nvPicPr>
      <xdr:blipFill>
        <a:blip xmlns:r="http://schemas.openxmlformats.org/officeDocument/2006/relationships" r:embed="rId4" cstate="print">
          <a:duotone>
            <a:prstClr val="black"/>
            <a:srgbClr val="008000">
              <a:tint val="45000"/>
              <a:satMod val="400000"/>
            </a:srgbClr>
          </a:duotone>
        </a:blip>
        <a:srcRect/>
        <a:stretch>
          <a:fillRect/>
        </a:stretch>
      </xdr:blipFill>
      <xdr:spPr bwMode="auto">
        <a:xfrm>
          <a:off x="10055223" y="85725"/>
          <a:ext cx="339269" cy="282575"/>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3</xdr:col>
      <xdr:colOff>3549650</xdr:colOff>
      <xdr:row>0</xdr:row>
      <xdr:rowOff>57151</xdr:rowOff>
    </xdr:from>
    <xdr:to>
      <xdr:col>3</xdr:col>
      <xdr:colOff>3859330</xdr:colOff>
      <xdr:row>0</xdr:row>
      <xdr:rowOff>400049</xdr:rowOff>
    </xdr:to>
    <xdr:pic macro="[0]!HAZARD">
      <xdr:nvPicPr>
        <xdr:cNvPr id="55" name="Picture 2" descr="C:\Users\Steven\AppData\Local\Microsoft\Windows\INetCache\IE\NLN5XO5A\question-mark-146034_640[1].png"/>
        <xdr:cNvPicPr>
          <a:picLocks noChangeAspect="1" noChangeArrowheads="1"/>
        </xdr:cNvPicPr>
      </xdr:nvPicPr>
      <xdr:blipFill>
        <a:blip xmlns:r="http://schemas.openxmlformats.org/officeDocument/2006/relationships" r:embed="rId5" cstate="print"/>
        <a:srcRect/>
        <a:stretch>
          <a:fillRect/>
        </a:stretch>
      </xdr:blipFill>
      <xdr:spPr bwMode="auto">
        <a:xfrm>
          <a:off x="9693275" y="57151"/>
          <a:ext cx="309680" cy="342898"/>
        </a:xfrm>
        <a:prstGeom prst="rect">
          <a:avLst/>
        </a:prstGeom>
        <a:ln>
          <a:noFill/>
        </a:ln>
        <a:effectLst>
          <a:outerShdw blurRad="292100" dist="139700" dir="2700000" algn="tl" rotWithShape="0">
            <a:srgbClr val="333333">
              <a:alpha val="65000"/>
            </a:srgbClr>
          </a:outerShdw>
        </a:effectLst>
      </xdr:spPr>
    </xdr:pic>
    <xdr:clientData fPrintsWithSheet="0"/>
  </xdr:twoCellAnchor>
  <xdr:twoCellAnchor>
    <xdr:from>
      <xdr:col>1</xdr:col>
      <xdr:colOff>228600</xdr:colOff>
      <xdr:row>2</xdr:row>
      <xdr:rowOff>66675</xdr:rowOff>
    </xdr:from>
    <xdr:to>
      <xdr:col>1</xdr:col>
      <xdr:colOff>1743075</xdr:colOff>
      <xdr:row>2</xdr:row>
      <xdr:rowOff>209550</xdr:rowOff>
    </xdr:to>
    <xdr:sp macro="[0]!OUVNBRMYST" textlink="">
      <xdr:nvSpPr>
        <xdr:cNvPr id="43" name="Rectangle 42"/>
        <xdr:cNvSpPr/>
      </xdr:nvSpPr>
      <xdr:spPr>
        <a:xfrm>
          <a:off x="609600" y="609600"/>
          <a:ext cx="1514475" cy="142875"/>
        </a:xfrm>
        <a:prstGeom prst="rect">
          <a:avLst/>
        </a:prstGeom>
        <a:noFill/>
        <a:ln w="76200">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1</xdr:col>
      <xdr:colOff>247650</xdr:colOff>
      <xdr:row>5</xdr:row>
      <xdr:rowOff>76200</xdr:rowOff>
    </xdr:from>
    <xdr:to>
      <xdr:col>1</xdr:col>
      <xdr:colOff>1543050</xdr:colOff>
      <xdr:row>5</xdr:row>
      <xdr:rowOff>200025</xdr:rowOff>
    </xdr:to>
    <xdr:sp macro="[0]!OUVCARTMGQ" textlink="">
      <xdr:nvSpPr>
        <xdr:cNvPr id="44" name="Rectangle 43"/>
        <xdr:cNvSpPr/>
      </xdr:nvSpPr>
      <xdr:spPr>
        <a:xfrm>
          <a:off x="628650" y="1123950"/>
          <a:ext cx="1295400" cy="123825"/>
        </a:xfrm>
        <a:prstGeom prst="rect">
          <a:avLst/>
        </a:prstGeom>
        <a:noFill/>
        <a:ln w="76200">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1</xdr:col>
      <xdr:colOff>247650</xdr:colOff>
      <xdr:row>8</xdr:row>
      <xdr:rowOff>76201</xdr:rowOff>
    </xdr:from>
    <xdr:to>
      <xdr:col>1</xdr:col>
      <xdr:colOff>2066925</xdr:colOff>
      <xdr:row>8</xdr:row>
      <xdr:rowOff>190501</xdr:rowOff>
    </xdr:to>
    <xdr:sp macro="[0]!OUVSOMAGE" textlink="">
      <xdr:nvSpPr>
        <xdr:cNvPr id="45" name="Rectangle 44"/>
        <xdr:cNvSpPr/>
      </xdr:nvSpPr>
      <xdr:spPr>
        <a:xfrm>
          <a:off x="628650" y="1628776"/>
          <a:ext cx="1819275" cy="1143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1</xdr:col>
      <xdr:colOff>238125</xdr:colOff>
      <xdr:row>11</xdr:row>
      <xdr:rowOff>66676</xdr:rowOff>
    </xdr:from>
    <xdr:to>
      <xdr:col>1</xdr:col>
      <xdr:colOff>1247774</xdr:colOff>
      <xdr:row>11</xdr:row>
      <xdr:rowOff>180976</xdr:rowOff>
    </xdr:to>
    <xdr:sp macro="[0]!OUVSOMADD" textlink="">
      <xdr:nvSpPr>
        <xdr:cNvPr id="47" name="Rectangle 46"/>
        <xdr:cNvSpPr/>
      </xdr:nvSpPr>
      <xdr:spPr>
        <a:xfrm>
          <a:off x="619125" y="2124076"/>
          <a:ext cx="1009649" cy="1143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1</xdr:col>
      <xdr:colOff>228600</xdr:colOff>
      <xdr:row>14</xdr:row>
      <xdr:rowOff>66675</xdr:rowOff>
    </xdr:from>
    <xdr:to>
      <xdr:col>1</xdr:col>
      <xdr:colOff>3028950</xdr:colOff>
      <xdr:row>14</xdr:row>
      <xdr:rowOff>200025</xdr:rowOff>
    </xdr:to>
    <xdr:sp macro="[0]!OUVACM" textlink="">
      <xdr:nvSpPr>
        <xdr:cNvPr id="59" name="Rectangle 58"/>
        <xdr:cNvSpPr/>
      </xdr:nvSpPr>
      <xdr:spPr>
        <a:xfrm>
          <a:off x="609600" y="2628900"/>
          <a:ext cx="2800350" cy="13335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1</xdr:col>
      <xdr:colOff>238125</xdr:colOff>
      <xdr:row>17</xdr:row>
      <xdr:rowOff>76200</xdr:rowOff>
    </xdr:from>
    <xdr:to>
      <xdr:col>1</xdr:col>
      <xdr:colOff>1704975</xdr:colOff>
      <xdr:row>17</xdr:row>
      <xdr:rowOff>200025</xdr:rowOff>
    </xdr:to>
    <xdr:sp macro="[0]!OUVILL" textlink="">
      <xdr:nvSpPr>
        <xdr:cNvPr id="61" name="Rectangle 60"/>
        <xdr:cNvSpPr/>
      </xdr:nvSpPr>
      <xdr:spPr>
        <a:xfrm>
          <a:off x="619125" y="3143250"/>
          <a:ext cx="1466850" cy="123825"/>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3</xdr:col>
      <xdr:colOff>228600</xdr:colOff>
      <xdr:row>2</xdr:row>
      <xdr:rowOff>76200</xdr:rowOff>
    </xdr:from>
    <xdr:to>
      <xdr:col>3</xdr:col>
      <xdr:colOff>4219575</xdr:colOff>
      <xdr:row>2</xdr:row>
      <xdr:rowOff>209550</xdr:rowOff>
    </xdr:to>
    <xdr:sp macro="[0]!OUVQCG" textlink="">
      <xdr:nvSpPr>
        <xdr:cNvPr id="62" name="Rectangle 61"/>
        <xdr:cNvSpPr/>
      </xdr:nvSpPr>
      <xdr:spPr>
        <a:xfrm>
          <a:off x="6372225" y="619125"/>
          <a:ext cx="3990975" cy="13335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3</xdr:col>
      <xdr:colOff>247650</xdr:colOff>
      <xdr:row>5</xdr:row>
      <xdr:rowOff>66675</xdr:rowOff>
    </xdr:from>
    <xdr:to>
      <xdr:col>3</xdr:col>
      <xdr:colOff>2085975</xdr:colOff>
      <xdr:row>5</xdr:row>
      <xdr:rowOff>200025</xdr:rowOff>
    </xdr:to>
    <xdr:sp macro="[0]!OUVASTROS" textlink="">
      <xdr:nvSpPr>
        <xdr:cNvPr id="63" name="Rectangle 62"/>
        <xdr:cNvSpPr/>
      </xdr:nvSpPr>
      <xdr:spPr>
        <a:xfrm>
          <a:off x="6391275" y="1114425"/>
          <a:ext cx="1838325" cy="13335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3</xdr:col>
      <xdr:colOff>219075</xdr:colOff>
      <xdr:row>14</xdr:row>
      <xdr:rowOff>47625</xdr:rowOff>
    </xdr:from>
    <xdr:to>
      <xdr:col>3</xdr:col>
      <xdr:colOff>1476375</xdr:colOff>
      <xdr:row>14</xdr:row>
      <xdr:rowOff>219075</xdr:rowOff>
    </xdr:to>
    <xdr:sp macro="[0]!OUVHISTOIRE" textlink="">
      <xdr:nvSpPr>
        <xdr:cNvPr id="64" name="Rectangle 63"/>
        <xdr:cNvSpPr/>
      </xdr:nvSpPr>
      <xdr:spPr>
        <a:xfrm>
          <a:off x="6362700" y="2609850"/>
          <a:ext cx="1257300" cy="17145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3</xdr:col>
      <xdr:colOff>247650</xdr:colOff>
      <xdr:row>11</xdr:row>
      <xdr:rowOff>47625</xdr:rowOff>
    </xdr:from>
    <xdr:to>
      <xdr:col>3</xdr:col>
      <xdr:colOff>1162050</xdr:colOff>
      <xdr:row>11</xdr:row>
      <xdr:rowOff>200025</xdr:rowOff>
    </xdr:to>
    <xdr:sp macro="[0]!QUESTIONNAIRE" textlink="">
      <xdr:nvSpPr>
        <xdr:cNvPr id="65" name="Rectangle 64"/>
        <xdr:cNvSpPr/>
      </xdr:nvSpPr>
      <xdr:spPr>
        <a:xfrm>
          <a:off x="6391275" y="2105025"/>
          <a:ext cx="914400" cy="1524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editAs="oneCell">
    <xdr:from>
      <xdr:col>3</xdr:col>
      <xdr:colOff>3171825</xdr:colOff>
      <xdr:row>0</xdr:row>
      <xdr:rowOff>76200</xdr:rowOff>
    </xdr:from>
    <xdr:to>
      <xdr:col>3</xdr:col>
      <xdr:colOff>3467100</xdr:colOff>
      <xdr:row>0</xdr:row>
      <xdr:rowOff>378342</xdr:rowOff>
    </xdr:to>
    <xdr:pic macro="[0]!_xludf.SAVE">
      <xdr:nvPicPr>
        <xdr:cNvPr id="41985" name="Picture 1"/>
        <xdr:cNvPicPr>
          <a:picLocks noChangeAspect="1" noChangeArrowheads="1"/>
        </xdr:cNvPicPr>
      </xdr:nvPicPr>
      <xdr:blipFill>
        <a:blip xmlns:r="http://schemas.openxmlformats.org/officeDocument/2006/relationships" r:embed="rId6" cstate="print"/>
        <a:srcRect l="815" t="15573" r="97591" b="81309"/>
        <a:stretch>
          <a:fillRect/>
        </a:stretch>
      </xdr:blipFill>
      <xdr:spPr bwMode="auto">
        <a:xfrm>
          <a:off x="9315450" y="76200"/>
          <a:ext cx="295275" cy="302142"/>
        </a:xfrm>
        <a:prstGeom prst="rect">
          <a:avLst/>
        </a:prstGeom>
        <a:noFill/>
        <a:ln w="1">
          <a:noFill/>
          <a:miter lim="800000"/>
          <a:headEnd/>
          <a:tailEnd type="none" w="med" len="med"/>
        </a:ln>
        <a:effectLst/>
      </xdr:spPr>
    </xdr:pic>
    <xdr:clientData/>
  </xdr:twoCellAnchor>
  <xdr:twoCellAnchor>
    <xdr:from>
      <xdr:col>1</xdr:col>
      <xdr:colOff>1314450</xdr:colOff>
      <xdr:row>11</xdr:row>
      <xdr:rowOff>28575</xdr:rowOff>
    </xdr:from>
    <xdr:to>
      <xdr:col>1</xdr:col>
      <xdr:colOff>1801495</xdr:colOff>
      <xdr:row>11</xdr:row>
      <xdr:rowOff>201324</xdr:rowOff>
    </xdr:to>
    <xdr:sp macro="" textlink="">
      <xdr:nvSpPr>
        <xdr:cNvPr id="49" name="Rectangle à coins arrondis 48"/>
        <xdr:cNvSpPr/>
      </xdr:nvSpPr>
      <xdr:spPr>
        <a:xfrm>
          <a:off x="1695450" y="2085975"/>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1</xdr:col>
      <xdr:colOff>1851025</xdr:colOff>
      <xdr:row>11</xdr:row>
      <xdr:rowOff>25400</xdr:rowOff>
    </xdr:from>
    <xdr:to>
      <xdr:col>1</xdr:col>
      <xdr:colOff>2333625</xdr:colOff>
      <xdr:row>11</xdr:row>
      <xdr:rowOff>190500</xdr:rowOff>
    </xdr:to>
    <xdr:sp macro="" textlink="">
      <xdr:nvSpPr>
        <xdr:cNvPr id="52" name="Rectangle à coins arrondis 51"/>
        <xdr:cNvSpPr/>
      </xdr:nvSpPr>
      <xdr:spPr>
        <a:xfrm>
          <a:off x="2232025" y="2082800"/>
          <a:ext cx="482600" cy="165100"/>
        </a:xfrm>
        <a:prstGeom prst="roundRect">
          <a:avLst/>
        </a:prstGeom>
        <a:solidFill>
          <a:srgbClr val="FFC000"/>
        </a:solidFill>
        <a:ln>
          <a:solidFill>
            <a:srgbClr val="CC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800" b="1" cap="none" spc="0">
              <a:ln w="11430"/>
              <a:solidFill>
                <a:srgbClr val="FF00FF"/>
              </a:solidFill>
              <a:effectLst>
                <a:outerShdw blurRad="50800" dist="39000" dir="5460000" algn="tl">
                  <a:srgbClr val="000000">
                    <a:alpha val="38000"/>
                  </a:srgbClr>
                </a:outerShdw>
              </a:effectLst>
            </a:rPr>
            <a:t>MAJ</a:t>
          </a:r>
        </a:p>
      </xdr:txBody>
    </xdr:sp>
    <xdr:clientData/>
  </xdr:twoCellAnchor>
  <xdr:twoCellAnchor>
    <xdr:from>
      <xdr:col>1</xdr:col>
      <xdr:colOff>2174875</xdr:colOff>
      <xdr:row>8</xdr:row>
      <xdr:rowOff>34925</xdr:rowOff>
    </xdr:from>
    <xdr:to>
      <xdr:col>1</xdr:col>
      <xdr:colOff>2657475</xdr:colOff>
      <xdr:row>8</xdr:row>
      <xdr:rowOff>200025</xdr:rowOff>
    </xdr:to>
    <xdr:sp macro="" textlink="">
      <xdr:nvSpPr>
        <xdr:cNvPr id="48" name="Rectangle à coins arrondis 47"/>
        <xdr:cNvSpPr/>
      </xdr:nvSpPr>
      <xdr:spPr>
        <a:xfrm>
          <a:off x="2555875" y="1587500"/>
          <a:ext cx="482600" cy="165100"/>
        </a:xfrm>
        <a:prstGeom prst="roundRect">
          <a:avLst/>
        </a:prstGeom>
        <a:solidFill>
          <a:srgbClr val="FFC000"/>
        </a:solidFill>
        <a:ln>
          <a:solidFill>
            <a:srgbClr val="CC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800" b="1" cap="none" spc="0">
              <a:ln w="11430"/>
              <a:solidFill>
                <a:srgbClr val="FF00FF"/>
              </a:solidFill>
              <a:effectLst>
                <a:outerShdw blurRad="50800" dist="39000" dir="5460000" algn="tl">
                  <a:srgbClr val="000000">
                    <a:alpha val="38000"/>
                  </a:srgbClr>
                </a:outerShdw>
              </a:effectLst>
            </a:rPr>
            <a:t>MAJ</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9334500</xdr:colOff>
      <xdr:row>0</xdr:row>
      <xdr:rowOff>47625</xdr:rowOff>
    </xdr:from>
    <xdr:to>
      <xdr:col>0</xdr:col>
      <xdr:colOff>9677400</xdr:colOff>
      <xdr:row>1</xdr:row>
      <xdr:rowOff>0</xdr:rowOff>
    </xdr:to>
    <xdr:sp macro="" textlink="">
      <xdr:nvSpPr>
        <xdr:cNvPr id="2" name="Flèche droite rayée 1">
          <a:hlinkClick xmlns:r="http://schemas.openxmlformats.org/officeDocument/2006/relationships" r:id="rId1"/>
        </xdr:cNvPr>
        <xdr:cNvSpPr/>
      </xdr:nvSpPr>
      <xdr:spPr>
        <a:xfrm>
          <a:off x="9334500" y="47625"/>
          <a:ext cx="342900" cy="352425"/>
        </a:xfrm>
        <a:prstGeom prst="stripedRightArrow">
          <a:avLst/>
        </a:prstGeom>
        <a:ln/>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editAs="oneCell">
    <xdr:from>
      <xdr:col>0</xdr:col>
      <xdr:colOff>66675</xdr:colOff>
      <xdr:row>3</xdr:row>
      <xdr:rowOff>145409</xdr:rowOff>
    </xdr:from>
    <xdr:to>
      <xdr:col>0</xdr:col>
      <xdr:colOff>1123950</xdr:colOff>
      <xdr:row>3</xdr:row>
      <xdr:rowOff>444861</xdr:rowOff>
    </xdr:to>
    <xdr:pic>
      <xdr:nvPicPr>
        <xdr:cNvPr id="26625" name="Picture 1">
          <a:hlinkClick xmlns:r="http://schemas.openxmlformats.org/officeDocument/2006/relationships" r:id="rId2"/>
        </xdr:cNvPr>
        <xdr:cNvPicPr>
          <a:picLocks noChangeAspect="1" noChangeArrowheads="1"/>
        </xdr:cNvPicPr>
      </xdr:nvPicPr>
      <xdr:blipFill>
        <a:blip xmlns:r="http://schemas.openxmlformats.org/officeDocument/2006/relationships" r:embed="rId3" cstate="print"/>
        <a:srcRect/>
        <a:stretch>
          <a:fillRect/>
        </a:stretch>
      </xdr:blipFill>
      <xdr:spPr bwMode="auto">
        <a:xfrm>
          <a:off x="66675" y="1478909"/>
          <a:ext cx="1057275" cy="299452"/>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xdr:twoCellAnchor>
  <xdr:twoCellAnchor>
    <xdr:from>
      <xdr:col>0</xdr:col>
      <xdr:colOff>2466975</xdr:colOff>
      <xdr:row>1</xdr:row>
      <xdr:rowOff>133350</xdr:rowOff>
    </xdr:from>
    <xdr:to>
      <xdr:col>0</xdr:col>
      <xdr:colOff>7258050</xdr:colOff>
      <xdr:row>1</xdr:row>
      <xdr:rowOff>400050</xdr:rowOff>
    </xdr:to>
    <xdr:sp macro="" textlink="">
      <xdr:nvSpPr>
        <xdr:cNvPr id="5" name="Rectangle à coins arrondis 4">
          <a:hlinkClick xmlns:r="http://schemas.openxmlformats.org/officeDocument/2006/relationships" r:id="rId4"/>
        </xdr:cNvPr>
        <xdr:cNvSpPr/>
      </xdr:nvSpPr>
      <xdr:spPr>
        <a:xfrm>
          <a:off x="2466975" y="533400"/>
          <a:ext cx="4791075" cy="266700"/>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fr-FR" sz="12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1914525</xdr:colOff>
      <xdr:row>0</xdr:row>
      <xdr:rowOff>0</xdr:rowOff>
    </xdr:from>
    <xdr:to>
      <xdr:col>3</xdr:col>
      <xdr:colOff>2276475</xdr:colOff>
      <xdr:row>0</xdr:row>
      <xdr:rowOff>428626</xdr:rowOff>
    </xdr:to>
    <xdr:sp macro="" textlink="">
      <xdr:nvSpPr>
        <xdr:cNvPr id="2" name="Flèche droite rayée 1">
          <a:hlinkClick xmlns:r="http://schemas.openxmlformats.org/officeDocument/2006/relationships" r:id="rId1"/>
        </xdr:cNvPr>
        <xdr:cNvSpPr/>
      </xdr:nvSpPr>
      <xdr:spPr>
        <a:xfrm>
          <a:off x="8858250" y="0"/>
          <a:ext cx="361950" cy="428626"/>
        </a:xfrm>
        <a:prstGeom prst="stripedRightArrow">
          <a:avLst/>
        </a:prstGeom>
        <a:ln>
          <a:solidFill>
            <a:schemeClr val="tx2">
              <a:lumMod val="75000"/>
            </a:schemeClr>
          </a:solidFill>
        </a:ln>
      </xdr:spPr>
      <xdr:style>
        <a:lnRef idx="1">
          <a:schemeClr val="accent5"/>
        </a:lnRef>
        <a:fillRef idx="1003">
          <a:schemeClr val="lt2"/>
        </a:fillRef>
        <a:effectRef idx="2">
          <a:schemeClr val="accent5"/>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editAs="oneCell">
    <xdr:from>
      <xdr:col>1</xdr:col>
      <xdr:colOff>56257</xdr:colOff>
      <xdr:row>0</xdr:row>
      <xdr:rowOff>213618</xdr:rowOff>
    </xdr:from>
    <xdr:to>
      <xdr:col>1</xdr:col>
      <xdr:colOff>68957</xdr:colOff>
      <xdr:row>0</xdr:row>
      <xdr:rowOff>213618</xdr:rowOff>
    </xdr:to>
    <xdr:pic>
      <xdr:nvPicPr>
        <xdr:cNvPr id="10" name="Picture 1"/>
        <xdr:cNvPicPr>
          <a:picLocks noChangeAspect="1" noChangeArrowheads="1"/>
        </xdr:cNvPicPr>
      </xdr:nvPicPr>
      <xdr:blipFill>
        <a:blip xmlns:r="http://schemas.openxmlformats.org/officeDocument/2006/relationships" r:embed="rId2" cstate="print">
          <a:clrChange>
            <a:clrFrom>
              <a:srgbClr val="FAFAFA"/>
            </a:clrFrom>
            <a:clrTo>
              <a:srgbClr val="FAFAFA">
                <a:alpha val="0"/>
              </a:srgbClr>
            </a:clrTo>
          </a:clrChange>
        </a:blip>
        <a:srcRect l="63294" t="33039" r="33027" b="65024"/>
        <a:stretch>
          <a:fillRect/>
        </a:stretch>
      </xdr:blipFill>
      <xdr:spPr bwMode="auto">
        <a:xfrm rot="5400000">
          <a:off x="356633" y="227567"/>
          <a:ext cx="40597" cy="12700"/>
        </a:xfrm>
        <a:prstGeom prst="rect">
          <a:avLst/>
        </a:prstGeom>
        <a:noFill/>
        <a:ln w="1">
          <a:noFill/>
          <a:miter lim="800000"/>
          <a:headEnd/>
          <a:tailEnd type="none" w="med" len="med"/>
        </a:ln>
        <a:effectLst/>
      </xdr:spPr>
    </xdr:pic>
    <xdr:clientData fLocksWithSheet="0"/>
  </xdr:twoCellAnchor>
  <xdr:twoCellAnchor editAs="oneCell">
    <xdr:from>
      <xdr:col>0</xdr:col>
      <xdr:colOff>479424</xdr:colOff>
      <xdr:row>1</xdr:row>
      <xdr:rowOff>19049</xdr:rowOff>
    </xdr:from>
    <xdr:to>
      <xdr:col>0</xdr:col>
      <xdr:colOff>1238249</xdr:colOff>
      <xdr:row>1</xdr:row>
      <xdr:rowOff>809624</xdr:rowOff>
    </xdr:to>
    <xdr:pic>
      <xdr:nvPicPr>
        <xdr:cNvPr id="12" name="Picture 2" descr="C:\Users\EVAINSE\AppData\Local\Microsoft\Windows\Temporary Internet Files\Content.IE5\8AVGDFKB\MM900365301[1].gif"/>
        <xdr:cNvPicPr>
          <a:picLocks noChangeAspect="1" noChangeArrowheads="1"/>
        </xdr:cNvPicPr>
      </xdr:nvPicPr>
      <xdr:blipFill>
        <a:blip xmlns:r="http://schemas.openxmlformats.org/officeDocument/2006/relationships" r:embed="rId3" cstate="print"/>
        <a:srcRect/>
        <a:stretch>
          <a:fillRect/>
        </a:stretch>
      </xdr:blipFill>
      <xdr:spPr bwMode="auto">
        <a:xfrm>
          <a:off x="479424" y="476249"/>
          <a:ext cx="758825" cy="790575"/>
        </a:xfrm>
        <a:prstGeom prst="rect">
          <a:avLst/>
        </a:prstGeom>
        <a:noFill/>
      </xdr:spPr>
    </xdr:pic>
    <xdr:clientData fLocksWithSheet="0"/>
  </xdr:twoCellAnchor>
  <xdr:twoCellAnchor>
    <xdr:from>
      <xdr:col>1</xdr:col>
      <xdr:colOff>28573</xdr:colOff>
      <xdr:row>1</xdr:row>
      <xdr:rowOff>19050</xdr:rowOff>
    </xdr:from>
    <xdr:to>
      <xdr:col>2</xdr:col>
      <xdr:colOff>2285997</xdr:colOff>
      <xdr:row>1</xdr:row>
      <xdr:rowOff>838200</xdr:rowOff>
    </xdr:to>
    <xdr:sp macro="" textlink="">
      <xdr:nvSpPr>
        <xdr:cNvPr id="13" name="Rectangle à coins arrondis 12"/>
        <xdr:cNvSpPr/>
      </xdr:nvSpPr>
      <xdr:spPr>
        <a:xfrm flipH="1">
          <a:off x="2343148" y="476250"/>
          <a:ext cx="4571999" cy="819150"/>
        </a:xfrm>
        <a:prstGeom prst="wedgeRoundRectCallout">
          <a:avLst>
            <a:gd name="adj1" fmla="val 79168"/>
            <a:gd name="adj2" fmla="val -17550"/>
            <a:gd name="adj3" fmla="val 16667"/>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i="1">
            <a:solidFill>
              <a:schemeClr val="tx1"/>
            </a:solidFill>
          </a:endParaRPr>
        </a:p>
      </xdr:txBody>
    </xdr:sp>
    <xdr:clientData fLocksWithSheet="0"/>
  </xdr:twoCellAnchor>
  <xdr:twoCellAnchor>
    <xdr:from>
      <xdr:col>2</xdr:col>
      <xdr:colOff>1447800</xdr:colOff>
      <xdr:row>0</xdr:row>
      <xdr:rowOff>152400</xdr:rowOff>
    </xdr:from>
    <xdr:to>
      <xdr:col>2</xdr:col>
      <xdr:colOff>1934845</xdr:colOff>
      <xdr:row>0</xdr:row>
      <xdr:rowOff>325149</xdr:rowOff>
    </xdr:to>
    <xdr:sp macro="" textlink="">
      <xdr:nvSpPr>
        <xdr:cNvPr id="14" name="Rectangle à coins arrondis 13"/>
        <xdr:cNvSpPr/>
      </xdr:nvSpPr>
      <xdr:spPr>
        <a:xfrm>
          <a:off x="6076950" y="15240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1</xdr:col>
      <xdr:colOff>428625</xdr:colOff>
      <xdr:row>0</xdr:row>
      <xdr:rowOff>152400</xdr:rowOff>
    </xdr:from>
    <xdr:to>
      <xdr:col>1</xdr:col>
      <xdr:colOff>915670</xdr:colOff>
      <xdr:row>0</xdr:row>
      <xdr:rowOff>325149</xdr:rowOff>
    </xdr:to>
    <xdr:sp macro="" textlink="">
      <xdr:nvSpPr>
        <xdr:cNvPr id="15" name="Rectangle à coins arrondis 14"/>
        <xdr:cNvSpPr/>
      </xdr:nvSpPr>
      <xdr:spPr>
        <a:xfrm>
          <a:off x="2743200" y="15240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3</xdr:col>
      <xdr:colOff>800100</xdr:colOff>
      <xdr:row>1</xdr:row>
      <xdr:rowOff>457200</xdr:rowOff>
    </xdr:from>
    <xdr:to>
      <xdr:col>3</xdr:col>
      <xdr:colOff>1343025</xdr:colOff>
      <xdr:row>1</xdr:row>
      <xdr:rowOff>648999</xdr:rowOff>
    </xdr:to>
    <xdr:sp macro="" textlink="">
      <xdr:nvSpPr>
        <xdr:cNvPr id="16" name="Rectangle à coins arrondis 15"/>
        <xdr:cNvSpPr/>
      </xdr:nvSpPr>
      <xdr:spPr>
        <a:xfrm>
          <a:off x="7743825" y="914400"/>
          <a:ext cx="542925" cy="19179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1</xdr:col>
      <xdr:colOff>38100</xdr:colOff>
      <xdr:row>3</xdr:row>
      <xdr:rowOff>9525</xdr:rowOff>
    </xdr:from>
    <xdr:to>
      <xdr:col>2</xdr:col>
      <xdr:colOff>9525</xdr:colOff>
      <xdr:row>3</xdr:row>
      <xdr:rowOff>219075</xdr:rowOff>
    </xdr:to>
    <xdr:sp macro="[0]!VersSigneChinois_PageBonus" textlink="">
      <xdr:nvSpPr>
        <xdr:cNvPr id="17" name="Rectangle 16"/>
        <xdr:cNvSpPr/>
      </xdr:nvSpPr>
      <xdr:spPr>
        <a:xfrm>
          <a:off x="2352675" y="1562100"/>
          <a:ext cx="2286000" cy="2095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38100</xdr:colOff>
      <xdr:row>2</xdr:row>
      <xdr:rowOff>0</xdr:rowOff>
    </xdr:from>
    <xdr:to>
      <xdr:col>2</xdr:col>
      <xdr:colOff>9525</xdr:colOff>
      <xdr:row>2</xdr:row>
      <xdr:rowOff>209550</xdr:rowOff>
    </xdr:to>
    <xdr:sp macro="[0]!VersPesee_PageBonus" textlink="">
      <xdr:nvSpPr>
        <xdr:cNvPr id="18" name="Rectangle 17"/>
        <xdr:cNvSpPr/>
      </xdr:nvSpPr>
      <xdr:spPr>
        <a:xfrm>
          <a:off x="2352675" y="1314450"/>
          <a:ext cx="2286000" cy="2095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38100</xdr:colOff>
      <xdr:row>3</xdr:row>
      <xdr:rowOff>9525</xdr:rowOff>
    </xdr:from>
    <xdr:to>
      <xdr:col>3</xdr:col>
      <xdr:colOff>9525</xdr:colOff>
      <xdr:row>3</xdr:row>
      <xdr:rowOff>219075</xdr:rowOff>
    </xdr:to>
    <xdr:sp macro="[0]!VersSigneEgyptien_PageBonus" textlink="">
      <xdr:nvSpPr>
        <xdr:cNvPr id="19" name="Rectangle 18"/>
        <xdr:cNvSpPr/>
      </xdr:nvSpPr>
      <xdr:spPr>
        <a:xfrm>
          <a:off x="4667250" y="1562100"/>
          <a:ext cx="2286000" cy="2095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38100</xdr:colOff>
      <xdr:row>2</xdr:row>
      <xdr:rowOff>0</xdr:rowOff>
    </xdr:from>
    <xdr:to>
      <xdr:col>3</xdr:col>
      <xdr:colOff>9525</xdr:colOff>
      <xdr:row>2</xdr:row>
      <xdr:rowOff>209550</xdr:rowOff>
    </xdr:to>
    <xdr:sp macro="[0]!VersHeure_PageBonus" textlink="">
      <xdr:nvSpPr>
        <xdr:cNvPr id="20" name="Rectangle 19"/>
        <xdr:cNvSpPr/>
      </xdr:nvSpPr>
      <xdr:spPr>
        <a:xfrm>
          <a:off x="4667250" y="1314450"/>
          <a:ext cx="2286000" cy="2095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3</xdr:col>
      <xdr:colOff>28575</xdr:colOff>
      <xdr:row>3</xdr:row>
      <xdr:rowOff>9525</xdr:rowOff>
    </xdr:from>
    <xdr:to>
      <xdr:col>3</xdr:col>
      <xdr:colOff>2314574</xdr:colOff>
      <xdr:row>3</xdr:row>
      <xdr:rowOff>219075</xdr:rowOff>
    </xdr:to>
    <xdr:sp macro="[0]!VersTable11_PageBonus" textlink="">
      <xdr:nvSpPr>
        <xdr:cNvPr id="21" name="Rectangle 20"/>
        <xdr:cNvSpPr/>
      </xdr:nvSpPr>
      <xdr:spPr>
        <a:xfrm>
          <a:off x="6972300" y="1562100"/>
          <a:ext cx="2285999" cy="2095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3</xdr:col>
      <xdr:colOff>28575</xdr:colOff>
      <xdr:row>2</xdr:row>
      <xdr:rowOff>0</xdr:rowOff>
    </xdr:from>
    <xdr:to>
      <xdr:col>3</xdr:col>
      <xdr:colOff>2314574</xdr:colOff>
      <xdr:row>2</xdr:row>
      <xdr:rowOff>209550</xdr:rowOff>
    </xdr:to>
    <xdr:sp macro="[0]!VersTable9_PageBonus" textlink="">
      <xdr:nvSpPr>
        <xdr:cNvPr id="22" name="Rectangle 21"/>
        <xdr:cNvSpPr/>
      </xdr:nvSpPr>
      <xdr:spPr>
        <a:xfrm>
          <a:off x="6972300" y="1314450"/>
          <a:ext cx="2285999" cy="2095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38100</xdr:colOff>
      <xdr:row>3</xdr:row>
      <xdr:rowOff>9525</xdr:rowOff>
    </xdr:from>
    <xdr:to>
      <xdr:col>1</xdr:col>
      <xdr:colOff>9525</xdr:colOff>
      <xdr:row>3</xdr:row>
      <xdr:rowOff>219075</xdr:rowOff>
    </xdr:to>
    <xdr:sp macro="[0]!VersThemeAstral_PageBonus" textlink="">
      <xdr:nvSpPr>
        <xdr:cNvPr id="23" name="Rectangle 22"/>
        <xdr:cNvSpPr/>
      </xdr:nvSpPr>
      <xdr:spPr>
        <a:xfrm>
          <a:off x="38100" y="1562100"/>
          <a:ext cx="2286000" cy="2095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38100</xdr:colOff>
      <xdr:row>2</xdr:row>
      <xdr:rowOff>0</xdr:rowOff>
    </xdr:from>
    <xdr:to>
      <xdr:col>1</xdr:col>
      <xdr:colOff>9525</xdr:colOff>
      <xdr:row>2</xdr:row>
      <xdr:rowOff>209550</xdr:rowOff>
    </xdr:to>
    <xdr:sp macro="[0]!VersLogique_PageBonus" textlink="">
      <xdr:nvSpPr>
        <xdr:cNvPr id="24" name="Rectangle 23"/>
        <xdr:cNvSpPr/>
      </xdr:nvSpPr>
      <xdr:spPr>
        <a:xfrm>
          <a:off x="38100" y="1314450"/>
          <a:ext cx="2286000" cy="2095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47626</xdr:colOff>
      <xdr:row>4</xdr:row>
      <xdr:rowOff>209550</xdr:rowOff>
    </xdr:from>
    <xdr:to>
      <xdr:col>2</xdr:col>
      <xdr:colOff>2295525</xdr:colOff>
      <xdr:row>5</xdr:row>
      <xdr:rowOff>123825</xdr:rowOff>
    </xdr:to>
    <xdr:sp macro="[0]!VersTheMaze_PageBonus" textlink="">
      <xdr:nvSpPr>
        <xdr:cNvPr id="25" name="Rectangle 24"/>
        <xdr:cNvSpPr/>
      </xdr:nvSpPr>
      <xdr:spPr>
        <a:xfrm>
          <a:off x="2362201" y="2000250"/>
          <a:ext cx="4562474" cy="180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5010150</xdr:colOff>
      <xdr:row>0</xdr:row>
      <xdr:rowOff>9525</xdr:rowOff>
    </xdr:from>
    <xdr:to>
      <xdr:col>0</xdr:col>
      <xdr:colOff>5362576</xdr:colOff>
      <xdr:row>0</xdr:row>
      <xdr:rowOff>400050</xdr:rowOff>
    </xdr:to>
    <xdr:sp macro="" textlink="">
      <xdr:nvSpPr>
        <xdr:cNvPr id="2" name="Flèche courbée vers la gauche 1">
          <a:hlinkClick xmlns:r="http://schemas.openxmlformats.org/officeDocument/2006/relationships" r:id="rId1"/>
        </xdr:cNvPr>
        <xdr:cNvSpPr/>
      </xdr:nvSpPr>
      <xdr:spPr>
        <a:xfrm>
          <a:off x="5010150" y="9525"/>
          <a:ext cx="352426" cy="390525"/>
        </a:xfrm>
        <a:prstGeom prst="curvedLeftArrow">
          <a:avLst>
            <a:gd name="adj1" fmla="val 34828"/>
            <a:gd name="adj2" fmla="val 55319"/>
            <a:gd name="adj3" fmla="val 29688"/>
          </a:avLst>
        </a:prstGeom>
        <a:ln>
          <a:solidFill>
            <a:schemeClr val="tx2">
              <a:lumMod val="75000"/>
            </a:schemeClr>
          </a:solidFill>
        </a:ln>
      </xdr:spPr>
      <xdr:style>
        <a:lnRef idx="1">
          <a:schemeClr val="accent5"/>
        </a:lnRef>
        <a:fillRef idx="1003">
          <a:schemeClr val="dk2"/>
        </a:fillRef>
        <a:effectRef idx="2">
          <a:schemeClr val="accent5"/>
        </a:effectRef>
        <a:fontRef idx="minor">
          <a:schemeClr val="lt1"/>
        </a:fontRef>
      </xdr:style>
      <xdr:txBody>
        <a:bodyPr vertOverflow="clip" rtlCol="0" anchor="ctr"/>
        <a:lstStyle/>
        <a:p>
          <a:pPr algn="ctr"/>
          <a:endParaRPr lang="fr-FR"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12700</xdr:colOff>
      <xdr:row>0</xdr:row>
      <xdr:rowOff>12700</xdr:rowOff>
    </xdr:from>
    <xdr:to>
      <xdr:col>0</xdr:col>
      <xdr:colOff>25400</xdr:colOff>
      <xdr:row>0</xdr:row>
      <xdr:rowOff>25400</xdr:rowOff>
    </xdr:to>
    <xdr:sp macro="" textlink="">
      <xdr:nvSpPr>
        <xdr:cNvPr id="5" name="Rectangle à coins arrondis 4"/>
        <xdr:cNvSpPr/>
      </xdr:nvSpPr>
      <xdr:spPr>
        <a:xfrm flipH="1">
          <a:off x="12700" y="12700"/>
          <a:ext cx="12700" cy="12700"/>
        </a:xfrm>
        <a:prstGeom prst="wedgeRoundRectCallout">
          <a:avLst>
            <a:gd name="adj1" fmla="val 56897"/>
            <a:gd name="adj2" fmla="val -9974"/>
            <a:gd name="adj3" fmla="val 16667"/>
          </a:avLst>
        </a:prstGeom>
        <a:solidFill>
          <a:schemeClr val="accent1">
            <a:alpha val="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endParaRPr lang="fr-FR" sz="1100" b="1" i="1">
            <a:solidFill>
              <a:sysClr val="windowText" lastClr="000000"/>
            </a:solidFill>
          </a:endParaRPr>
        </a:p>
      </xdr:txBody>
    </xdr:sp>
    <xdr:clientData fLocksWithSheet="0"/>
  </xdr:twoCellAnchor>
  <xdr:twoCellAnchor>
    <xdr:from>
      <xdr:col>1</xdr:col>
      <xdr:colOff>130175</xdr:colOff>
      <xdr:row>1</xdr:row>
      <xdr:rowOff>44450</xdr:rowOff>
    </xdr:from>
    <xdr:to>
      <xdr:col>24</xdr:col>
      <xdr:colOff>69850</xdr:colOff>
      <xdr:row>3</xdr:row>
      <xdr:rowOff>425450</xdr:rowOff>
    </xdr:to>
    <xdr:sp macro="" textlink="">
      <xdr:nvSpPr>
        <xdr:cNvPr id="2" name="Rectangle à coins arrondis 1"/>
        <xdr:cNvSpPr/>
      </xdr:nvSpPr>
      <xdr:spPr>
        <a:xfrm>
          <a:off x="635000" y="635000"/>
          <a:ext cx="7493000" cy="762000"/>
        </a:xfrm>
        <a:prstGeom prst="wedgeRoundRectCallout">
          <a:avLst>
            <a:gd name="adj1" fmla="val 57208"/>
            <a:gd name="adj2" fmla="val -20050"/>
            <a:gd name="adj3" fmla="val 16667"/>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i="1">
              <a:solidFill>
                <a:schemeClr val="tx1"/>
              </a:solidFill>
            </a:rPr>
            <a:t>Choisissez</a:t>
          </a:r>
          <a:r>
            <a:rPr lang="fr-FR" sz="1100" i="1" baseline="0">
              <a:solidFill>
                <a:schemeClr val="tx1"/>
              </a:solidFill>
            </a:rPr>
            <a:t> </a:t>
          </a:r>
          <a:r>
            <a:rPr lang="fr-FR" sz="1100" i="1">
              <a:solidFill>
                <a:schemeClr val="tx1"/>
              </a:solidFill>
            </a:rPr>
            <a:t>un nombre</a:t>
          </a:r>
          <a:r>
            <a:rPr lang="fr-FR" sz="1100" i="1" baseline="0">
              <a:solidFill>
                <a:schemeClr val="tx1"/>
              </a:solidFill>
            </a:rPr>
            <a:t> </a:t>
          </a:r>
          <a:r>
            <a:rPr lang="fr-FR" sz="1100" b="1" i="1">
              <a:solidFill>
                <a:schemeClr val="tx1"/>
              </a:solidFill>
            </a:rPr>
            <a:t>entre 1 et 63 </a:t>
          </a:r>
          <a:r>
            <a:rPr lang="fr-FR" sz="1100" i="1">
              <a:solidFill>
                <a:schemeClr val="tx1"/>
              </a:solidFill>
            </a:rPr>
            <a:t>(dans votre  tête).</a:t>
          </a:r>
          <a:r>
            <a:rPr lang="fr-FR" sz="1100" i="1" baseline="0">
              <a:solidFill>
                <a:schemeClr val="tx1"/>
              </a:solidFill>
            </a:rPr>
            <a:t>  </a:t>
          </a:r>
        </a:p>
        <a:p>
          <a:pPr algn="ctr"/>
          <a:r>
            <a:rPr lang="fr-FR" sz="1100" i="1" baseline="0">
              <a:solidFill>
                <a:schemeClr val="tx1"/>
              </a:solidFill>
            </a:rPr>
            <a:t>D</a:t>
          </a:r>
          <a:r>
            <a:rPr lang="fr-FR" sz="1100" i="1">
              <a:solidFill>
                <a:schemeClr val="tx1"/>
              </a:solidFill>
            </a:rPr>
            <a:t>ites moi juste,  par </a:t>
          </a:r>
          <a:r>
            <a:rPr lang="fr-FR" sz="1100" b="1" i="1">
              <a:solidFill>
                <a:schemeClr val="tx1"/>
              </a:solidFill>
            </a:rPr>
            <a:t>OUI </a:t>
          </a:r>
          <a:r>
            <a:rPr lang="fr-FR" sz="1100" b="0" i="1">
              <a:solidFill>
                <a:schemeClr val="tx1"/>
              </a:solidFill>
            </a:rPr>
            <a:t>ou</a:t>
          </a:r>
          <a:r>
            <a:rPr lang="fr-FR" sz="1100" b="1" i="1">
              <a:solidFill>
                <a:schemeClr val="tx1"/>
              </a:solidFill>
            </a:rPr>
            <a:t> NON </a:t>
          </a:r>
          <a:r>
            <a:rPr lang="fr-FR" sz="1100" b="0" i="1">
              <a:solidFill>
                <a:schemeClr val="tx1"/>
              </a:solidFill>
            </a:rPr>
            <a:t>, si votre</a:t>
          </a:r>
          <a:r>
            <a:rPr lang="fr-FR" sz="1100" i="1">
              <a:solidFill>
                <a:schemeClr val="tx1"/>
              </a:solidFill>
            </a:rPr>
            <a:t> nombre</a:t>
          </a:r>
          <a:r>
            <a:rPr lang="fr-FR" sz="1100" i="1" baseline="0">
              <a:solidFill>
                <a:schemeClr val="tx1"/>
              </a:solidFill>
            </a:rPr>
            <a:t> </a:t>
          </a:r>
          <a:r>
            <a:rPr lang="fr-FR" sz="1100" i="1">
              <a:solidFill>
                <a:schemeClr val="tx1"/>
              </a:solidFill>
            </a:rPr>
            <a:t>se trouve dans la liste (carte de couleur)  au-dessus des 6 cases libres.</a:t>
          </a:r>
        </a:p>
        <a:p>
          <a:pPr algn="ctr"/>
          <a:r>
            <a:rPr lang="fr-FR" sz="1100" i="1">
              <a:solidFill>
                <a:schemeClr val="tx1"/>
              </a:solidFill>
            </a:rPr>
            <a:t>A la suite de ça, je vous</a:t>
          </a:r>
          <a:r>
            <a:rPr lang="fr-FR" sz="1100" i="1" baseline="0">
              <a:solidFill>
                <a:schemeClr val="tx1"/>
              </a:solidFill>
            </a:rPr>
            <a:t> a</a:t>
          </a:r>
          <a:r>
            <a:rPr lang="fr-FR" sz="1100" i="1">
              <a:solidFill>
                <a:schemeClr val="tx1"/>
              </a:solidFill>
            </a:rPr>
            <a:t>nnonce votre</a:t>
          </a:r>
          <a:r>
            <a:rPr lang="fr-FR" sz="1100" i="1" baseline="0">
              <a:solidFill>
                <a:schemeClr val="tx1"/>
              </a:solidFill>
            </a:rPr>
            <a:t> </a:t>
          </a:r>
          <a:r>
            <a:rPr lang="fr-FR" sz="1100" i="1">
              <a:solidFill>
                <a:schemeClr val="tx1"/>
              </a:solidFill>
            </a:rPr>
            <a:t>nombre !</a:t>
          </a:r>
        </a:p>
      </xdr:txBody>
    </xdr:sp>
    <xdr:clientData fLocksWithSheet="0"/>
  </xdr:twoCellAnchor>
  <xdr:twoCellAnchor editAs="oneCell">
    <xdr:from>
      <xdr:col>24</xdr:col>
      <xdr:colOff>196850</xdr:colOff>
      <xdr:row>0</xdr:row>
      <xdr:rowOff>571500</xdr:rowOff>
    </xdr:from>
    <xdr:to>
      <xdr:col>26</xdr:col>
      <xdr:colOff>276225</xdr:colOff>
      <xdr:row>4</xdr:row>
      <xdr:rowOff>60325</xdr:rowOff>
    </xdr:to>
    <xdr:pic macro="[0]!RAZNBRMYSTERE">
      <xdr:nvPicPr>
        <xdr:cNvPr id="1026" name="Picture 2" descr="C:\Users\EVAINSE\AppData\Local\Microsoft\Windows\Temporary Internet Files\Content.IE5\8AVGDFKB\MM900365301[1].gif"/>
        <xdr:cNvPicPr>
          <a:picLocks noChangeAspect="1" noChangeArrowheads="1"/>
        </xdr:cNvPicPr>
      </xdr:nvPicPr>
      <xdr:blipFill>
        <a:blip xmlns:r="http://schemas.openxmlformats.org/officeDocument/2006/relationships" r:embed="rId1" cstate="print"/>
        <a:srcRect/>
        <a:stretch>
          <a:fillRect/>
        </a:stretch>
      </xdr:blipFill>
      <xdr:spPr bwMode="auto">
        <a:xfrm flipH="1">
          <a:off x="8255000" y="571500"/>
          <a:ext cx="889000" cy="889000"/>
        </a:xfrm>
        <a:prstGeom prst="rect">
          <a:avLst/>
        </a:prstGeom>
        <a:noFill/>
      </xdr:spPr>
    </xdr:pic>
    <xdr:clientData fLocksWithSheet="0"/>
  </xdr:twoCellAnchor>
  <xdr:twoCellAnchor>
    <xdr:from>
      <xdr:col>29</xdr:col>
      <xdr:colOff>285752</xdr:colOff>
      <xdr:row>0</xdr:row>
      <xdr:rowOff>47625</xdr:rowOff>
    </xdr:from>
    <xdr:to>
      <xdr:col>30</xdr:col>
      <xdr:colOff>476250</xdr:colOff>
      <xdr:row>0</xdr:row>
      <xdr:rowOff>561975</xdr:rowOff>
    </xdr:to>
    <xdr:sp macro="[0]!FERMNBRMYST" textlink="">
      <xdr:nvSpPr>
        <xdr:cNvPr id="8" name="Flèche droite rayée 7"/>
        <xdr:cNvSpPr/>
      </xdr:nvSpPr>
      <xdr:spPr>
        <a:xfrm>
          <a:off x="10039352" y="47625"/>
          <a:ext cx="485773" cy="514350"/>
        </a:xfrm>
        <a:prstGeom prst="stripedRightArrow">
          <a:avLst/>
        </a:prstGeom>
        <a:ln/>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fr-FR" sz="1100">
            <a:solidFill>
              <a:schemeClr val="tx1"/>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250825</xdr:colOff>
      <xdr:row>1</xdr:row>
      <xdr:rowOff>133350</xdr:rowOff>
    </xdr:from>
    <xdr:to>
      <xdr:col>3</xdr:col>
      <xdr:colOff>405607</xdr:colOff>
      <xdr:row>7</xdr:row>
      <xdr:rowOff>100153</xdr:rowOff>
    </xdr:to>
    <xdr:pic>
      <xdr:nvPicPr>
        <xdr:cNvPr id="2050" name="Picture 2" descr="C:\Users\EVAINSE\AppData\Local\Microsoft\Windows\Temporary Internet Files\Content.IE5\V2650LE3\MM900365301[1].gif"/>
        <xdr:cNvPicPr>
          <a:picLocks noChangeAspect="1" noChangeArrowheads="1"/>
        </xdr:cNvPicPr>
      </xdr:nvPicPr>
      <xdr:blipFill>
        <a:blip xmlns:r="http://schemas.openxmlformats.org/officeDocument/2006/relationships" r:embed="rId1" cstate="print"/>
        <a:srcRect/>
        <a:stretch>
          <a:fillRect/>
        </a:stretch>
      </xdr:blipFill>
      <xdr:spPr bwMode="auto">
        <a:xfrm>
          <a:off x="1270000" y="723900"/>
          <a:ext cx="1021557" cy="1033603"/>
        </a:xfrm>
        <a:prstGeom prst="rect">
          <a:avLst/>
        </a:prstGeom>
        <a:noFill/>
      </xdr:spPr>
    </xdr:pic>
    <xdr:clientData fLocksWithSheet="0"/>
  </xdr:twoCellAnchor>
  <xdr:twoCellAnchor>
    <xdr:from>
      <xdr:col>5</xdr:col>
      <xdr:colOff>146050</xdr:colOff>
      <xdr:row>1</xdr:row>
      <xdr:rowOff>171450</xdr:rowOff>
    </xdr:from>
    <xdr:to>
      <xdr:col>13</xdr:col>
      <xdr:colOff>228600</xdr:colOff>
      <xdr:row>5</xdr:row>
      <xdr:rowOff>73025</xdr:rowOff>
    </xdr:to>
    <xdr:sp macro="" textlink="">
      <xdr:nvSpPr>
        <xdr:cNvPr id="4" name="Rectangle à coins arrondis 3"/>
        <xdr:cNvSpPr/>
      </xdr:nvSpPr>
      <xdr:spPr>
        <a:xfrm>
          <a:off x="3556000" y="762000"/>
          <a:ext cx="6350000" cy="635000"/>
        </a:xfrm>
        <a:prstGeom prst="wedgeRoundRectCallout">
          <a:avLst>
            <a:gd name="adj1" fmla="val -71612"/>
            <a:gd name="adj2" fmla="val -11743"/>
            <a:gd name="adj3" fmla="val 16667"/>
          </a:avLst>
        </a:prstGeom>
        <a:ln>
          <a:solidFill>
            <a:schemeClr val="bg1">
              <a:lumMod val="50000"/>
            </a:schemeClr>
          </a:solidFill>
        </a:ln>
      </xdr:spPr>
      <xdr:style>
        <a:lnRef idx="1">
          <a:schemeClr val="accent5"/>
        </a:lnRef>
        <a:fillRef idx="1003">
          <a:schemeClr val="lt1"/>
        </a:fillRef>
        <a:effectRef idx="1">
          <a:schemeClr val="accent5"/>
        </a:effectRef>
        <a:fontRef idx="minor">
          <a:schemeClr val="dk1"/>
        </a:fontRef>
      </xdr:style>
      <xdr:txBody>
        <a:bodyPr vert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200" i="1">
              <a:solidFill>
                <a:schemeClr val="bg2">
                  <a:lumMod val="25000"/>
                </a:schemeClr>
              </a:solidFill>
            </a:rPr>
            <a:t>Ci</a:t>
          </a:r>
          <a:r>
            <a:rPr lang="fr-FR" sz="1200" i="1" baseline="0">
              <a:solidFill>
                <a:schemeClr val="bg2">
                  <a:lumMod val="25000"/>
                </a:schemeClr>
              </a:solidFill>
            </a:rPr>
            <a:t> après 6 cartes (personnages) tirées d'un jeu classique (52 cartes). Cliquez sur </a:t>
          </a:r>
          <a:r>
            <a:rPr lang="fr-FR" sz="1200" b="1" i="1" baseline="0">
              <a:solidFill>
                <a:schemeClr val="bg2">
                  <a:lumMod val="25000"/>
                </a:schemeClr>
              </a:solidFill>
            </a:rPr>
            <a:t>"Afficher" </a:t>
          </a:r>
          <a:r>
            <a:rPr lang="fr-FR" sz="1200" i="1" baseline="0">
              <a:solidFill>
                <a:schemeClr val="bg2">
                  <a:lumMod val="25000"/>
                </a:schemeClr>
              </a:solidFill>
            </a:rPr>
            <a:t>et choisissez mentalement l'une de ces 6 cartes, puis cliquez sur </a:t>
          </a:r>
          <a:r>
            <a:rPr lang="fr-FR" sz="1200" b="1" i="1" baseline="0">
              <a:solidFill>
                <a:schemeClr val="bg2">
                  <a:lumMod val="25000"/>
                </a:schemeClr>
              </a:solidFill>
            </a:rPr>
            <a:t>"Faire opérer la magie"</a:t>
          </a:r>
          <a:endParaRPr lang="fr-FR" sz="1200" b="1" i="1">
            <a:solidFill>
              <a:schemeClr val="bg2">
                <a:lumMod val="25000"/>
              </a:schemeClr>
            </a:solidFill>
          </a:endParaRPr>
        </a:p>
      </xdr:txBody>
    </xdr:sp>
    <xdr:clientData fLocksWithSheet="0"/>
  </xdr:twoCellAnchor>
  <xdr:twoCellAnchor>
    <xdr:from>
      <xdr:col>3</xdr:col>
      <xdr:colOff>19050</xdr:colOff>
      <xdr:row>8</xdr:row>
      <xdr:rowOff>6350</xdr:rowOff>
    </xdr:from>
    <xdr:to>
      <xdr:col>4</xdr:col>
      <xdr:colOff>19050</xdr:colOff>
      <xdr:row>9</xdr:row>
      <xdr:rowOff>133350</xdr:rowOff>
    </xdr:to>
    <xdr:sp macro="[0]!AFFICHER" textlink="">
      <xdr:nvSpPr>
        <xdr:cNvPr id="5" name="Rectangle à coins arrondis 4"/>
        <xdr:cNvSpPr/>
      </xdr:nvSpPr>
      <xdr:spPr>
        <a:xfrm>
          <a:off x="1905000" y="1968500"/>
          <a:ext cx="762000" cy="317500"/>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1100" b="1"/>
            <a:t>Afficher</a:t>
          </a:r>
        </a:p>
      </xdr:txBody>
    </xdr:sp>
    <xdr:clientData fLocksWithSheet="0"/>
  </xdr:twoCellAnchor>
  <xdr:twoCellAnchor>
    <xdr:from>
      <xdr:col>0</xdr:col>
      <xdr:colOff>12700</xdr:colOff>
      <xdr:row>0</xdr:row>
      <xdr:rowOff>12700</xdr:rowOff>
    </xdr:from>
    <xdr:to>
      <xdr:col>0</xdr:col>
      <xdr:colOff>25400</xdr:colOff>
      <xdr:row>0</xdr:row>
      <xdr:rowOff>25400</xdr:rowOff>
    </xdr:to>
    <xdr:sp macro="[0]!MAGIE" textlink="">
      <xdr:nvSpPr>
        <xdr:cNvPr id="6" name="Rectangle à coins arrondis 5"/>
        <xdr:cNvSpPr/>
      </xdr:nvSpPr>
      <xdr:spPr>
        <a:xfrm>
          <a:off x="12700" y="12700"/>
          <a:ext cx="12700" cy="12700"/>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200" b="1">
              <a:solidFill>
                <a:schemeClr val="bg1"/>
              </a:solidFill>
            </a:rPr>
            <a:t>Faire</a:t>
          </a:r>
          <a:r>
            <a:rPr lang="fr-FR" sz="1200" b="1" baseline="0">
              <a:solidFill>
                <a:schemeClr val="bg1"/>
              </a:solidFill>
            </a:rPr>
            <a:t> </a:t>
          </a:r>
          <a:r>
            <a:rPr lang="fr-FR" sz="1200" b="1">
              <a:solidFill>
                <a:schemeClr val="bg1"/>
              </a:solidFill>
            </a:rPr>
            <a:t>opérer la magie</a:t>
          </a:r>
        </a:p>
      </xdr:txBody>
    </xdr:sp>
    <xdr:clientData fLocksWithSheet="0"/>
  </xdr:twoCellAnchor>
  <xdr:twoCellAnchor>
    <xdr:from>
      <xdr:col>0</xdr:col>
      <xdr:colOff>12700</xdr:colOff>
      <xdr:row>0</xdr:row>
      <xdr:rowOff>12700</xdr:rowOff>
    </xdr:from>
    <xdr:to>
      <xdr:col>0</xdr:col>
      <xdr:colOff>25400</xdr:colOff>
      <xdr:row>0</xdr:row>
      <xdr:rowOff>25400</xdr:rowOff>
    </xdr:to>
    <xdr:sp macro="" textlink="">
      <xdr:nvSpPr>
        <xdr:cNvPr id="7" name="Rectangle à coins arrondis 6"/>
        <xdr:cNvSpPr/>
      </xdr:nvSpPr>
      <xdr:spPr>
        <a:xfrm>
          <a:off x="12700" y="12700"/>
          <a:ext cx="12700" cy="12700"/>
        </a:xfrm>
        <a:prstGeom prst="wedgeRoundRectCallout">
          <a:avLst>
            <a:gd name="adj1" fmla="val -68552"/>
            <a:gd name="adj2" fmla="val -5302"/>
            <a:gd name="adj3" fmla="val 16667"/>
          </a:avLst>
        </a:prstGeom>
        <a:ln>
          <a:solidFill>
            <a:schemeClr val="bg1">
              <a:lumMod val="50000"/>
            </a:schemeClr>
          </a:solidFill>
        </a:ln>
      </xdr:spPr>
      <xdr:style>
        <a:lnRef idx="2">
          <a:schemeClr val="accent1">
            <a:shade val="50000"/>
          </a:schemeClr>
        </a:lnRef>
        <a:fillRef idx="1003">
          <a:schemeClr val="lt1"/>
        </a:fillRef>
        <a:effectRef idx="0">
          <a:schemeClr val="accent1"/>
        </a:effectRef>
        <a:fontRef idx="minor">
          <a:schemeClr val="lt1"/>
        </a:fontRef>
      </xdr:style>
      <xdr:txBody>
        <a:bodyPr vertOverflow="clip" rtlCol="0" anchor="ctr"/>
        <a:lstStyle/>
        <a:p>
          <a:pPr algn="ctr"/>
          <a:r>
            <a:rPr lang="fr-FR" sz="1400" b="1" baseline="0">
              <a:solidFill>
                <a:schemeClr val="bg2">
                  <a:lumMod val="25000"/>
                </a:schemeClr>
              </a:solidFill>
            </a:rPr>
            <a:t>Votre carte a disparu, pas vrai ?!</a:t>
          </a:r>
        </a:p>
      </xdr:txBody>
    </xdr:sp>
    <xdr:clientData fLocksWithSheet="0"/>
  </xdr:twoCellAnchor>
  <xdr:twoCellAnchor editAs="oneCell">
    <xdr:from>
      <xdr:col>0</xdr:col>
      <xdr:colOff>12700</xdr:colOff>
      <xdr:row>0</xdr:row>
      <xdr:rowOff>12700</xdr:rowOff>
    </xdr:from>
    <xdr:to>
      <xdr:col>0</xdr:col>
      <xdr:colOff>33202</xdr:colOff>
      <xdr:row>0</xdr:row>
      <xdr:rowOff>25400</xdr:rowOff>
    </xdr:to>
    <xdr:pic macro="[0]!RAZCARTEMAGIQUE">
      <xdr:nvPicPr>
        <xdr:cNvPr id="1025" name="Picture 1" descr="C:\Users\EVAINSE\AppData\Local\Microsoft\Windows\Temporary Internet Files\Content.IE5\83PY3UX4\MC900357125[1].wmf"/>
        <xdr:cNvPicPr>
          <a:picLocks noChangeAspect="1" noChangeArrowheads="1"/>
        </xdr:cNvPicPr>
      </xdr:nvPicPr>
      <xdr:blipFill>
        <a:blip xmlns:r="http://schemas.openxmlformats.org/officeDocument/2006/relationships" r:embed="rId2" cstate="print"/>
        <a:srcRect r="71740"/>
        <a:stretch>
          <a:fillRect/>
        </a:stretch>
      </xdr:blipFill>
      <xdr:spPr bwMode="auto">
        <a:xfrm>
          <a:off x="12700" y="12700"/>
          <a:ext cx="20502" cy="12700"/>
        </a:xfrm>
        <a:prstGeom prst="rect">
          <a:avLst/>
        </a:prstGeom>
        <a:noFill/>
      </xdr:spPr>
    </xdr:pic>
    <xdr:clientData fLocksWithSheet="0"/>
  </xdr:twoCellAnchor>
  <xdr:twoCellAnchor>
    <xdr:from>
      <xdr:col>13</xdr:col>
      <xdr:colOff>180975</xdr:colOff>
      <xdr:row>0</xdr:row>
      <xdr:rowOff>47625</xdr:rowOff>
    </xdr:from>
    <xdr:to>
      <xdr:col>13</xdr:col>
      <xdr:colOff>666748</xdr:colOff>
      <xdr:row>0</xdr:row>
      <xdr:rowOff>561975</xdr:rowOff>
    </xdr:to>
    <xdr:sp macro="[0]!FERMCARTMGQ" textlink="">
      <xdr:nvSpPr>
        <xdr:cNvPr id="12" name="Flèche droite rayée 11"/>
        <xdr:cNvSpPr/>
      </xdr:nvSpPr>
      <xdr:spPr>
        <a:xfrm>
          <a:off x="9858375" y="47625"/>
          <a:ext cx="485773" cy="514350"/>
        </a:xfrm>
        <a:prstGeom prst="stripedRightArrow">
          <a:avLst/>
        </a:prstGeom>
        <a:ln/>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editAs="oneCell">
    <xdr:from>
      <xdr:col>4</xdr:col>
      <xdr:colOff>6350</xdr:colOff>
      <xdr:row>0</xdr:row>
      <xdr:rowOff>12700</xdr:rowOff>
    </xdr:from>
    <xdr:to>
      <xdr:col>4</xdr:col>
      <xdr:colOff>15224</xdr:colOff>
      <xdr:row>0</xdr:row>
      <xdr:rowOff>25400</xdr:rowOff>
    </xdr:to>
    <xdr:pic>
      <xdr:nvPicPr>
        <xdr:cNvPr id="16" name="Image 15" descr="King_of_spades_fr.svg.png"/>
        <xdr:cNvPicPr>
          <a:picLocks noChangeAspect="1"/>
        </xdr:cNvPicPr>
      </xdr:nvPicPr>
      <xdr:blipFill>
        <a:blip xmlns:r="http://schemas.openxmlformats.org/officeDocument/2006/relationships" r:embed="rId3" cstate="print"/>
        <a:stretch>
          <a:fillRect/>
        </a:stretch>
      </xdr:blipFill>
      <xdr:spPr>
        <a:xfrm>
          <a:off x="2654300" y="12700"/>
          <a:ext cx="8874" cy="12700"/>
        </a:xfrm>
        <a:prstGeom prst="rect">
          <a:avLst/>
        </a:prstGeom>
      </xdr:spPr>
    </xdr:pic>
    <xdr:clientData fLocksWithSheet="0"/>
  </xdr:twoCellAnchor>
  <xdr:twoCellAnchor editAs="oneCell">
    <xdr:from>
      <xdr:col>3</xdr:col>
      <xdr:colOff>133350</xdr:colOff>
      <xdr:row>0</xdr:row>
      <xdr:rowOff>12700</xdr:rowOff>
    </xdr:from>
    <xdr:to>
      <xdr:col>3</xdr:col>
      <xdr:colOff>142224</xdr:colOff>
      <xdr:row>0</xdr:row>
      <xdr:rowOff>25400</xdr:rowOff>
    </xdr:to>
    <xdr:pic>
      <xdr:nvPicPr>
        <xdr:cNvPr id="18" name="Image 17" descr="Queen_of_diamonds_fr.svg.png"/>
        <xdr:cNvPicPr>
          <a:picLocks noChangeAspect="1"/>
        </xdr:cNvPicPr>
      </xdr:nvPicPr>
      <xdr:blipFill>
        <a:blip xmlns:r="http://schemas.openxmlformats.org/officeDocument/2006/relationships" r:embed="rId4" cstate="print"/>
        <a:stretch>
          <a:fillRect/>
        </a:stretch>
      </xdr:blipFill>
      <xdr:spPr>
        <a:xfrm>
          <a:off x="2019300" y="12700"/>
          <a:ext cx="8874" cy="12700"/>
        </a:xfrm>
        <a:prstGeom prst="rect">
          <a:avLst/>
        </a:prstGeom>
      </xdr:spPr>
    </xdr:pic>
    <xdr:clientData fLocksWithSheet="0"/>
  </xdr:twoCellAnchor>
  <xdr:twoCellAnchor editAs="oneCell">
    <xdr:from>
      <xdr:col>2</xdr:col>
      <xdr:colOff>365125</xdr:colOff>
      <xdr:row>0</xdr:row>
      <xdr:rowOff>12700</xdr:rowOff>
    </xdr:from>
    <xdr:to>
      <xdr:col>2</xdr:col>
      <xdr:colOff>374037</xdr:colOff>
      <xdr:row>0</xdr:row>
      <xdr:rowOff>25400</xdr:rowOff>
    </xdr:to>
    <xdr:pic>
      <xdr:nvPicPr>
        <xdr:cNvPr id="29" name="Image 28" descr="Queen_of_clubs_fr.svg.png"/>
        <xdr:cNvPicPr>
          <a:picLocks noChangeAspect="1"/>
        </xdr:cNvPicPr>
      </xdr:nvPicPr>
      <xdr:blipFill>
        <a:blip xmlns:r="http://schemas.openxmlformats.org/officeDocument/2006/relationships" r:embed="rId5" cstate="print"/>
        <a:stretch>
          <a:fillRect/>
        </a:stretch>
      </xdr:blipFill>
      <xdr:spPr>
        <a:xfrm>
          <a:off x="1384300" y="12700"/>
          <a:ext cx="8912" cy="12700"/>
        </a:xfrm>
        <a:prstGeom prst="rect">
          <a:avLst/>
        </a:prstGeom>
      </xdr:spPr>
    </xdr:pic>
    <xdr:clientData fLocksWithSheet="0"/>
  </xdr:twoCellAnchor>
  <xdr:twoCellAnchor editAs="oneCell">
    <xdr:from>
      <xdr:col>1</xdr:col>
      <xdr:colOff>492125</xdr:colOff>
      <xdr:row>0</xdr:row>
      <xdr:rowOff>12700</xdr:rowOff>
    </xdr:from>
    <xdr:to>
      <xdr:col>1</xdr:col>
      <xdr:colOff>500999</xdr:colOff>
      <xdr:row>0</xdr:row>
      <xdr:rowOff>25400</xdr:rowOff>
    </xdr:to>
    <xdr:pic>
      <xdr:nvPicPr>
        <xdr:cNvPr id="30" name="Image 29" descr="King_of_hearts_fr.svg.png"/>
        <xdr:cNvPicPr>
          <a:picLocks noChangeAspect="1"/>
        </xdr:cNvPicPr>
      </xdr:nvPicPr>
      <xdr:blipFill>
        <a:blip xmlns:r="http://schemas.openxmlformats.org/officeDocument/2006/relationships" r:embed="rId6" cstate="print"/>
        <a:stretch>
          <a:fillRect/>
        </a:stretch>
      </xdr:blipFill>
      <xdr:spPr>
        <a:xfrm>
          <a:off x="749300" y="12700"/>
          <a:ext cx="8874" cy="12700"/>
        </a:xfrm>
        <a:prstGeom prst="rect">
          <a:avLst/>
        </a:prstGeom>
      </xdr:spPr>
    </xdr:pic>
    <xdr:clientData fLocksWithSheet="0"/>
  </xdr:twoCellAnchor>
  <xdr:twoCellAnchor editAs="oneCell">
    <xdr:from>
      <xdr:col>0</xdr:col>
      <xdr:colOff>114300</xdr:colOff>
      <xdr:row>0</xdr:row>
      <xdr:rowOff>12701</xdr:rowOff>
    </xdr:from>
    <xdr:to>
      <xdr:col>0</xdr:col>
      <xdr:colOff>123249</xdr:colOff>
      <xdr:row>0</xdr:row>
      <xdr:rowOff>25401</xdr:rowOff>
    </xdr:to>
    <xdr:pic>
      <xdr:nvPicPr>
        <xdr:cNvPr id="31" name="Image 30" descr="Jack_of_spades_fr.svg.png"/>
        <xdr:cNvPicPr>
          <a:picLocks noChangeAspect="1"/>
        </xdr:cNvPicPr>
      </xdr:nvPicPr>
      <xdr:blipFill>
        <a:blip xmlns:r="http://schemas.openxmlformats.org/officeDocument/2006/relationships" r:embed="rId7" cstate="print"/>
        <a:stretch>
          <a:fillRect/>
        </a:stretch>
      </xdr:blipFill>
      <xdr:spPr>
        <a:xfrm>
          <a:off x="114300" y="12701"/>
          <a:ext cx="8949" cy="12700"/>
        </a:xfrm>
        <a:prstGeom prst="rect">
          <a:avLst/>
        </a:prstGeom>
      </xdr:spPr>
    </xdr:pic>
    <xdr:clientData fLocksWithSheet="0"/>
  </xdr:twoCellAnchor>
  <xdr:twoCellAnchor>
    <xdr:from>
      <xdr:col>0</xdr:col>
      <xdr:colOff>12700</xdr:colOff>
      <xdr:row>0</xdr:row>
      <xdr:rowOff>12700</xdr:rowOff>
    </xdr:from>
    <xdr:to>
      <xdr:col>0</xdr:col>
      <xdr:colOff>25400</xdr:colOff>
      <xdr:row>0</xdr:row>
      <xdr:rowOff>25400</xdr:rowOff>
    </xdr:to>
    <xdr:sp macro="" textlink="">
      <xdr:nvSpPr>
        <xdr:cNvPr id="32" name="Rectangle à coins arrondis 31"/>
        <xdr:cNvSpPr/>
      </xdr:nvSpPr>
      <xdr:spPr>
        <a:xfrm>
          <a:off x="12700" y="12700"/>
          <a:ext cx="12700" cy="12700"/>
        </a:xfrm>
        <a:prstGeom prst="wedgeRoundRectCallout">
          <a:avLst>
            <a:gd name="adj1" fmla="val -68552"/>
            <a:gd name="adj2" fmla="val -5302"/>
            <a:gd name="adj3" fmla="val 16667"/>
          </a:avLst>
        </a:prstGeom>
        <a:ln>
          <a:solidFill>
            <a:schemeClr val="bg1">
              <a:lumMod val="50000"/>
            </a:schemeClr>
          </a:solidFill>
        </a:ln>
      </xdr:spPr>
      <xdr:style>
        <a:lnRef idx="2">
          <a:schemeClr val="accent1">
            <a:shade val="50000"/>
          </a:schemeClr>
        </a:lnRef>
        <a:fillRef idx="1003">
          <a:schemeClr val="lt1"/>
        </a:fillRef>
        <a:effectRef idx="0">
          <a:schemeClr val="accent1"/>
        </a:effectRef>
        <a:fontRef idx="minor">
          <a:schemeClr val="lt1"/>
        </a:fontRef>
      </xdr:style>
      <xdr:txBody>
        <a:bodyPr vertOverflow="clip" rtlCol="0" anchor="ctr"/>
        <a:lstStyle/>
        <a:p>
          <a:pPr algn="ctr"/>
          <a:r>
            <a:rPr lang="fr-FR" sz="1400" b="1" baseline="0">
              <a:solidFill>
                <a:schemeClr val="bg2">
                  <a:lumMod val="25000"/>
                </a:schemeClr>
              </a:solidFill>
            </a:rPr>
            <a:t>Appuyez sur l'image en bas d'écran pour recommencer</a:t>
          </a:r>
        </a:p>
      </xdr:txBody>
    </xdr:sp>
    <xdr:clientData fLocksWithSheet="0"/>
  </xdr:twoCellAnchor>
  <xdr:twoCellAnchor editAs="oneCell">
    <xdr:from>
      <xdr:col>0</xdr:col>
      <xdr:colOff>12700</xdr:colOff>
      <xdr:row>0</xdr:row>
      <xdr:rowOff>12700</xdr:rowOff>
    </xdr:from>
    <xdr:to>
      <xdr:col>0</xdr:col>
      <xdr:colOff>22343</xdr:colOff>
      <xdr:row>0</xdr:row>
      <xdr:rowOff>25400</xdr:rowOff>
    </xdr:to>
    <xdr:pic>
      <xdr:nvPicPr>
        <xdr:cNvPr id="21" name="Image 20" descr="King_of_clubs_fr.svg.png"/>
        <xdr:cNvPicPr>
          <a:picLocks noChangeAspect="1"/>
        </xdr:cNvPicPr>
      </xdr:nvPicPr>
      <xdr:blipFill>
        <a:blip xmlns:r="http://schemas.openxmlformats.org/officeDocument/2006/relationships" r:embed="rId8" cstate="print"/>
        <a:stretch>
          <a:fillRect/>
        </a:stretch>
      </xdr:blipFill>
      <xdr:spPr>
        <a:xfrm>
          <a:off x="12700" y="12700"/>
          <a:ext cx="9643" cy="12700"/>
        </a:xfrm>
        <a:prstGeom prst="rect">
          <a:avLst/>
        </a:prstGeom>
      </xdr:spPr>
    </xdr:pic>
    <xdr:clientData fLocksWithSheet="0"/>
  </xdr:twoCellAnchor>
  <xdr:twoCellAnchor editAs="oneCell">
    <xdr:from>
      <xdr:col>0</xdr:col>
      <xdr:colOff>12700</xdr:colOff>
      <xdr:row>0</xdr:row>
      <xdr:rowOff>12700</xdr:rowOff>
    </xdr:from>
    <xdr:to>
      <xdr:col>0</xdr:col>
      <xdr:colOff>22429</xdr:colOff>
      <xdr:row>0</xdr:row>
      <xdr:rowOff>25400</xdr:rowOff>
    </xdr:to>
    <xdr:pic>
      <xdr:nvPicPr>
        <xdr:cNvPr id="23" name="Image 22" descr="Jack_of_diamonds_fr.svg.png"/>
        <xdr:cNvPicPr>
          <a:picLocks noChangeAspect="1"/>
        </xdr:cNvPicPr>
      </xdr:nvPicPr>
      <xdr:blipFill>
        <a:blip xmlns:r="http://schemas.openxmlformats.org/officeDocument/2006/relationships" r:embed="rId9" cstate="print"/>
        <a:stretch>
          <a:fillRect/>
        </a:stretch>
      </xdr:blipFill>
      <xdr:spPr>
        <a:xfrm>
          <a:off x="12700" y="12700"/>
          <a:ext cx="9729" cy="12700"/>
        </a:xfrm>
        <a:prstGeom prst="rect">
          <a:avLst/>
        </a:prstGeom>
      </xdr:spPr>
    </xdr:pic>
    <xdr:clientData fLocksWithSheet="0"/>
  </xdr:twoCellAnchor>
  <xdr:twoCellAnchor editAs="oneCell">
    <xdr:from>
      <xdr:col>0</xdr:col>
      <xdr:colOff>12700</xdr:colOff>
      <xdr:row>0</xdr:row>
      <xdr:rowOff>12700</xdr:rowOff>
    </xdr:from>
    <xdr:to>
      <xdr:col>0</xdr:col>
      <xdr:colOff>21751</xdr:colOff>
      <xdr:row>0</xdr:row>
      <xdr:rowOff>25400</xdr:rowOff>
    </xdr:to>
    <xdr:pic>
      <xdr:nvPicPr>
        <xdr:cNvPr id="28" name="Image 27" descr="Queen_of_spades_fr.svg.png"/>
        <xdr:cNvPicPr>
          <a:picLocks noChangeAspect="1"/>
        </xdr:cNvPicPr>
      </xdr:nvPicPr>
      <xdr:blipFill>
        <a:blip xmlns:r="http://schemas.openxmlformats.org/officeDocument/2006/relationships" r:embed="rId10" cstate="print"/>
        <a:stretch>
          <a:fillRect/>
        </a:stretch>
      </xdr:blipFill>
      <xdr:spPr>
        <a:xfrm>
          <a:off x="12700" y="12700"/>
          <a:ext cx="9051" cy="12700"/>
        </a:xfrm>
        <a:prstGeom prst="rect">
          <a:avLst/>
        </a:prstGeom>
      </xdr:spPr>
    </xdr:pic>
    <xdr:clientData fLocksWithSheet="0"/>
  </xdr:twoCellAnchor>
  <xdr:twoCellAnchor editAs="oneCell">
    <xdr:from>
      <xdr:col>0</xdr:col>
      <xdr:colOff>12700</xdr:colOff>
      <xdr:row>0</xdr:row>
      <xdr:rowOff>12700</xdr:rowOff>
    </xdr:from>
    <xdr:to>
      <xdr:col>0</xdr:col>
      <xdr:colOff>21627</xdr:colOff>
      <xdr:row>0</xdr:row>
      <xdr:rowOff>25400</xdr:rowOff>
    </xdr:to>
    <xdr:pic>
      <xdr:nvPicPr>
        <xdr:cNvPr id="33" name="Image 32" descr="Jack_of_clubs_fr.svg.png"/>
        <xdr:cNvPicPr>
          <a:picLocks noChangeAspect="1"/>
        </xdr:cNvPicPr>
      </xdr:nvPicPr>
      <xdr:blipFill>
        <a:blip xmlns:r="http://schemas.openxmlformats.org/officeDocument/2006/relationships" r:embed="rId11" cstate="print"/>
        <a:stretch>
          <a:fillRect/>
        </a:stretch>
      </xdr:blipFill>
      <xdr:spPr>
        <a:xfrm>
          <a:off x="12700" y="12700"/>
          <a:ext cx="8927" cy="12700"/>
        </a:xfrm>
        <a:prstGeom prst="rect">
          <a:avLst/>
        </a:prstGeom>
      </xdr:spPr>
    </xdr:pic>
    <xdr:clientData fLocksWithSheet="0"/>
  </xdr:twoCellAnchor>
  <xdr:twoCellAnchor editAs="oneCell">
    <xdr:from>
      <xdr:col>0</xdr:col>
      <xdr:colOff>12700</xdr:colOff>
      <xdr:row>0</xdr:row>
      <xdr:rowOff>12700</xdr:rowOff>
    </xdr:from>
    <xdr:to>
      <xdr:col>0</xdr:col>
      <xdr:colOff>21596</xdr:colOff>
      <xdr:row>0</xdr:row>
      <xdr:rowOff>25400</xdr:rowOff>
    </xdr:to>
    <xdr:pic>
      <xdr:nvPicPr>
        <xdr:cNvPr id="34" name="Image 33" descr="King_of_diamonds_fr.svg.png"/>
        <xdr:cNvPicPr>
          <a:picLocks noChangeAspect="1"/>
        </xdr:cNvPicPr>
      </xdr:nvPicPr>
      <xdr:blipFill>
        <a:blip xmlns:r="http://schemas.openxmlformats.org/officeDocument/2006/relationships" r:embed="rId12" cstate="print"/>
        <a:stretch>
          <a:fillRect/>
        </a:stretch>
      </xdr:blipFill>
      <xdr:spPr>
        <a:xfrm>
          <a:off x="12700" y="12700"/>
          <a:ext cx="8896" cy="12700"/>
        </a:xfrm>
        <a:prstGeom prst="rect">
          <a:avLst/>
        </a:prstGeom>
      </xdr:spPr>
    </xdr:pic>
    <xdr:clientData fLocksWithSheet="0"/>
  </xdr:twoCellAnchor>
  <xdr:twoCellAnchor editAs="oneCell">
    <xdr:from>
      <xdr:col>0</xdr:col>
      <xdr:colOff>12700</xdr:colOff>
      <xdr:row>0</xdr:row>
      <xdr:rowOff>12700</xdr:rowOff>
    </xdr:from>
    <xdr:to>
      <xdr:col>0</xdr:col>
      <xdr:colOff>22215</xdr:colOff>
      <xdr:row>0</xdr:row>
      <xdr:rowOff>25400</xdr:rowOff>
    </xdr:to>
    <xdr:pic>
      <xdr:nvPicPr>
        <xdr:cNvPr id="35" name="Image 34" descr="Queen_of_hearts_fr.svg.png"/>
        <xdr:cNvPicPr>
          <a:picLocks noChangeAspect="1"/>
        </xdr:cNvPicPr>
      </xdr:nvPicPr>
      <xdr:blipFill>
        <a:blip xmlns:r="http://schemas.openxmlformats.org/officeDocument/2006/relationships" r:embed="rId13" cstate="print"/>
        <a:stretch>
          <a:fillRect/>
        </a:stretch>
      </xdr:blipFill>
      <xdr:spPr>
        <a:xfrm>
          <a:off x="12700" y="12700"/>
          <a:ext cx="9515" cy="12700"/>
        </a:xfrm>
        <a:prstGeom prst="rect">
          <a:avLst/>
        </a:prstGeom>
      </xdr:spPr>
    </xdr:pic>
    <xdr:clientData fLocksWithSheet="0"/>
  </xdr:twoCellAnchor>
  <xdr:twoCellAnchor editAs="oneCell">
    <xdr:from>
      <xdr:col>0</xdr:col>
      <xdr:colOff>12700</xdr:colOff>
      <xdr:row>0</xdr:row>
      <xdr:rowOff>12700</xdr:rowOff>
    </xdr:from>
    <xdr:to>
      <xdr:col>0</xdr:col>
      <xdr:colOff>21574</xdr:colOff>
      <xdr:row>0</xdr:row>
      <xdr:rowOff>25400</xdr:rowOff>
    </xdr:to>
    <xdr:pic>
      <xdr:nvPicPr>
        <xdr:cNvPr id="36" name="Image 35" descr="King_of_spades_fr.svg.png"/>
        <xdr:cNvPicPr>
          <a:picLocks noChangeAspect="1"/>
        </xdr:cNvPicPr>
      </xdr:nvPicPr>
      <xdr:blipFill>
        <a:blip xmlns:r="http://schemas.openxmlformats.org/officeDocument/2006/relationships" r:embed="rId14" cstate="print"/>
        <a:stretch>
          <a:fillRect/>
        </a:stretch>
      </xdr:blipFill>
      <xdr:spPr>
        <a:xfrm>
          <a:off x="12700" y="12700"/>
          <a:ext cx="8874" cy="12700"/>
        </a:xfrm>
        <a:prstGeom prst="rect">
          <a:avLst/>
        </a:prstGeom>
      </xdr:spPr>
    </xdr:pic>
    <xdr:clientData fLocksWithSheet="0"/>
  </xdr:twoCellAnchor>
  <xdr:twoCellAnchor editAs="oneCell">
    <xdr:from>
      <xdr:col>0</xdr:col>
      <xdr:colOff>12700</xdr:colOff>
      <xdr:row>0</xdr:row>
      <xdr:rowOff>12700</xdr:rowOff>
    </xdr:from>
    <xdr:to>
      <xdr:col>0</xdr:col>
      <xdr:colOff>21574</xdr:colOff>
      <xdr:row>0</xdr:row>
      <xdr:rowOff>25400</xdr:rowOff>
    </xdr:to>
    <xdr:pic>
      <xdr:nvPicPr>
        <xdr:cNvPr id="37" name="Image 36" descr="Queen_of_diamonds_fr.svg.png"/>
        <xdr:cNvPicPr>
          <a:picLocks noChangeAspect="1"/>
        </xdr:cNvPicPr>
      </xdr:nvPicPr>
      <xdr:blipFill>
        <a:blip xmlns:r="http://schemas.openxmlformats.org/officeDocument/2006/relationships" r:embed="rId15" cstate="print"/>
        <a:stretch>
          <a:fillRect/>
        </a:stretch>
      </xdr:blipFill>
      <xdr:spPr>
        <a:xfrm>
          <a:off x="12700" y="12700"/>
          <a:ext cx="8874" cy="12700"/>
        </a:xfrm>
        <a:prstGeom prst="rect">
          <a:avLst/>
        </a:prstGeom>
      </xdr:spPr>
    </xdr:pic>
    <xdr:clientData fLocksWithSheet="0"/>
  </xdr:twoCellAnchor>
  <xdr:twoCellAnchor editAs="oneCell">
    <xdr:from>
      <xdr:col>0</xdr:col>
      <xdr:colOff>12700</xdr:colOff>
      <xdr:row>0</xdr:row>
      <xdr:rowOff>12700</xdr:rowOff>
    </xdr:from>
    <xdr:to>
      <xdr:col>0</xdr:col>
      <xdr:colOff>21612</xdr:colOff>
      <xdr:row>0</xdr:row>
      <xdr:rowOff>25400</xdr:rowOff>
    </xdr:to>
    <xdr:pic>
      <xdr:nvPicPr>
        <xdr:cNvPr id="38" name="Image 37" descr="Queen_of_clubs_fr.svg.png"/>
        <xdr:cNvPicPr>
          <a:picLocks noChangeAspect="1"/>
        </xdr:cNvPicPr>
      </xdr:nvPicPr>
      <xdr:blipFill>
        <a:blip xmlns:r="http://schemas.openxmlformats.org/officeDocument/2006/relationships" r:embed="rId16" cstate="print"/>
        <a:stretch>
          <a:fillRect/>
        </a:stretch>
      </xdr:blipFill>
      <xdr:spPr>
        <a:xfrm>
          <a:off x="12700" y="12700"/>
          <a:ext cx="8912" cy="12700"/>
        </a:xfrm>
        <a:prstGeom prst="rect">
          <a:avLst/>
        </a:prstGeom>
      </xdr:spPr>
    </xdr:pic>
    <xdr:clientData fLocksWithSheet="0"/>
  </xdr:twoCellAnchor>
  <xdr:twoCellAnchor editAs="oneCell">
    <xdr:from>
      <xdr:col>0</xdr:col>
      <xdr:colOff>12700</xdr:colOff>
      <xdr:row>0</xdr:row>
      <xdr:rowOff>12700</xdr:rowOff>
    </xdr:from>
    <xdr:to>
      <xdr:col>0</xdr:col>
      <xdr:colOff>21574</xdr:colOff>
      <xdr:row>0</xdr:row>
      <xdr:rowOff>25400</xdr:rowOff>
    </xdr:to>
    <xdr:pic>
      <xdr:nvPicPr>
        <xdr:cNvPr id="39" name="Image 38" descr="King_of_hearts_fr.svg.png"/>
        <xdr:cNvPicPr>
          <a:picLocks noChangeAspect="1"/>
        </xdr:cNvPicPr>
      </xdr:nvPicPr>
      <xdr:blipFill>
        <a:blip xmlns:r="http://schemas.openxmlformats.org/officeDocument/2006/relationships" r:embed="rId17" cstate="print"/>
        <a:stretch>
          <a:fillRect/>
        </a:stretch>
      </xdr:blipFill>
      <xdr:spPr>
        <a:xfrm>
          <a:off x="12700" y="12700"/>
          <a:ext cx="8874" cy="12700"/>
        </a:xfrm>
        <a:prstGeom prst="rect">
          <a:avLst/>
        </a:prstGeom>
      </xdr:spPr>
    </xdr:pic>
    <xdr:clientData fLocksWithSheet="0"/>
  </xdr:twoCellAnchor>
  <xdr:twoCellAnchor editAs="oneCell">
    <xdr:from>
      <xdr:col>0</xdr:col>
      <xdr:colOff>12700</xdr:colOff>
      <xdr:row>0</xdr:row>
      <xdr:rowOff>12700</xdr:rowOff>
    </xdr:from>
    <xdr:to>
      <xdr:col>0</xdr:col>
      <xdr:colOff>21649</xdr:colOff>
      <xdr:row>0</xdr:row>
      <xdr:rowOff>25400</xdr:rowOff>
    </xdr:to>
    <xdr:pic>
      <xdr:nvPicPr>
        <xdr:cNvPr id="40" name="Image 39" descr="Jack_of_spades_fr.svg.png"/>
        <xdr:cNvPicPr>
          <a:picLocks noChangeAspect="1"/>
        </xdr:cNvPicPr>
      </xdr:nvPicPr>
      <xdr:blipFill>
        <a:blip xmlns:r="http://schemas.openxmlformats.org/officeDocument/2006/relationships" r:embed="rId18" cstate="print"/>
        <a:stretch>
          <a:fillRect/>
        </a:stretch>
      </xdr:blipFill>
      <xdr:spPr>
        <a:xfrm>
          <a:off x="12700" y="12700"/>
          <a:ext cx="8949" cy="12700"/>
        </a:xfrm>
        <a:prstGeom prst="rect">
          <a:avLst/>
        </a:prstGeom>
      </xdr:spPr>
    </xdr:pic>
    <xdr:clientData fLocksWithSheet="0"/>
  </xdr:twoCellAnchor>
</xdr:wsDr>
</file>

<file path=xl/drawings/drawing11.xml><?xml version="1.0" encoding="utf-8"?>
<xdr:wsDr xmlns:xdr="http://schemas.openxmlformats.org/drawingml/2006/spreadsheetDrawing" xmlns:a="http://schemas.openxmlformats.org/drawingml/2006/main">
  <xdr:twoCellAnchor>
    <xdr:from>
      <xdr:col>10</xdr:col>
      <xdr:colOff>714377</xdr:colOff>
      <xdr:row>0</xdr:row>
      <xdr:rowOff>9525</xdr:rowOff>
    </xdr:from>
    <xdr:to>
      <xdr:col>10</xdr:col>
      <xdr:colOff>1200149</xdr:colOff>
      <xdr:row>0</xdr:row>
      <xdr:rowOff>523875</xdr:rowOff>
    </xdr:to>
    <xdr:sp macro="[0]!FERMCHOCO" textlink="">
      <xdr:nvSpPr>
        <xdr:cNvPr id="9" name="Flèche droite rayée 8"/>
        <xdr:cNvSpPr/>
      </xdr:nvSpPr>
      <xdr:spPr>
        <a:xfrm>
          <a:off x="9105902" y="9525"/>
          <a:ext cx="485772" cy="514350"/>
        </a:xfrm>
        <a:prstGeom prst="stripedRightArrow">
          <a:avLst/>
        </a:prstGeom>
        <a:ln/>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9</xdr:col>
      <xdr:colOff>1654175</xdr:colOff>
      <xdr:row>5</xdr:row>
      <xdr:rowOff>50800</xdr:rowOff>
    </xdr:from>
    <xdr:to>
      <xdr:col>10</xdr:col>
      <xdr:colOff>674780</xdr:colOff>
      <xdr:row>8</xdr:row>
      <xdr:rowOff>139699</xdr:rowOff>
    </xdr:to>
    <xdr:pic macro="[0]!RAZCHOCO">
      <xdr:nvPicPr>
        <xdr:cNvPr id="6" name="Picture 1" descr="9C4441917FD342468043058A1764B687@andrea40121f81"/>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8255000" y="1270000"/>
          <a:ext cx="811305" cy="688974"/>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fLocksWithSheet="0"/>
  </xdr:twoCellAnchor>
  <xdr:twoCellAnchor editAs="oneCell">
    <xdr:from>
      <xdr:col>9</xdr:col>
      <xdr:colOff>695325</xdr:colOff>
      <xdr:row>3</xdr:row>
      <xdr:rowOff>104775</xdr:rowOff>
    </xdr:from>
    <xdr:to>
      <xdr:col>10</xdr:col>
      <xdr:colOff>1159250</xdr:colOff>
      <xdr:row>10</xdr:row>
      <xdr:rowOff>142875</xdr:rowOff>
    </xdr:to>
    <xdr:pic>
      <xdr:nvPicPr>
        <xdr:cNvPr id="7" name="Image 6" descr="clip_image002.jpg"/>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blip>
        <a:stretch>
          <a:fillRect/>
        </a:stretch>
      </xdr:blipFill>
      <xdr:spPr>
        <a:xfrm>
          <a:off x="7296150" y="923925"/>
          <a:ext cx="2254625" cy="1666875"/>
        </a:xfrm>
        <a:prstGeom prst="rect">
          <a:avLst/>
        </a:prstGeom>
      </xdr:spPr>
    </xdr:pic>
    <xdr:clientData/>
  </xdr:twoCellAnchor>
  <xdr:twoCellAnchor>
    <xdr:from>
      <xdr:col>10</xdr:col>
      <xdr:colOff>438150</xdr:colOff>
      <xdr:row>2</xdr:row>
      <xdr:rowOff>76200</xdr:rowOff>
    </xdr:from>
    <xdr:to>
      <xdr:col>10</xdr:col>
      <xdr:colOff>923925</xdr:colOff>
      <xdr:row>2</xdr:row>
      <xdr:rowOff>152400</xdr:rowOff>
    </xdr:to>
    <xdr:sp macro="[0]!versPARACHOCO" textlink="">
      <xdr:nvSpPr>
        <xdr:cNvPr id="5" name="Rectangle à coins arrondis 4"/>
        <xdr:cNvSpPr/>
      </xdr:nvSpPr>
      <xdr:spPr>
        <a:xfrm>
          <a:off x="8829675" y="704850"/>
          <a:ext cx="485775" cy="762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15</xdr:row>
      <xdr:rowOff>141756</xdr:rowOff>
    </xdr:from>
    <xdr:to>
      <xdr:col>1</xdr:col>
      <xdr:colOff>536839</xdr:colOff>
      <xdr:row>34</xdr:row>
      <xdr:rowOff>190499</xdr:rowOff>
    </xdr:to>
    <xdr:pic macro="[0]!RAZADD">
      <xdr:nvPicPr>
        <xdr:cNvPr id="4" name="Picture 2" descr="C:\Users\EVAINSE\AppData\Local\Microsoft\Windows\Temporary Internet Files\Content.IE5\8AVGDFKB\MM900365301[1].gif"/>
        <xdr:cNvPicPr>
          <a:picLocks noChangeAspect="1" noChangeArrowheads="1"/>
        </xdr:cNvPicPr>
      </xdr:nvPicPr>
      <xdr:blipFill>
        <a:blip xmlns:r="http://schemas.openxmlformats.org/officeDocument/2006/relationships" r:embed="rId1" cstate="print"/>
        <a:srcRect/>
        <a:stretch>
          <a:fillRect/>
        </a:stretch>
      </xdr:blipFill>
      <xdr:spPr bwMode="auto">
        <a:xfrm>
          <a:off x="0" y="3208806"/>
          <a:ext cx="879739" cy="1010768"/>
        </a:xfrm>
        <a:prstGeom prst="rect">
          <a:avLst/>
        </a:prstGeom>
        <a:noFill/>
      </xdr:spPr>
    </xdr:pic>
    <xdr:clientData/>
  </xdr:twoCellAnchor>
  <xdr:twoCellAnchor>
    <xdr:from>
      <xdr:col>8</xdr:col>
      <xdr:colOff>419100</xdr:colOff>
      <xdr:row>0</xdr:row>
      <xdr:rowOff>0</xdr:rowOff>
    </xdr:from>
    <xdr:to>
      <xdr:col>8</xdr:col>
      <xdr:colOff>761999</xdr:colOff>
      <xdr:row>0</xdr:row>
      <xdr:rowOff>354623</xdr:rowOff>
    </xdr:to>
    <xdr:sp macro="[0]!FERMADD" textlink="">
      <xdr:nvSpPr>
        <xdr:cNvPr id="8" name="Flèche droite rayée 7"/>
        <xdr:cNvSpPr/>
      </xdr:nvSpPr>
      <xdr:spPr>
        <a:xfrm>
          <a:off x="6162675" y="0"/>
          <a:ext cx="342899" cy="354623"/>
        </a:xfrm>
        <a:prstGeom prst="stripedRightArrow">
          <a:avLst/>
        </a:prstGeom>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515472</xdr:colOff>
      <xdr:row>91</xdr:row>
      <xdr:rowOff>134471</xdr:rowOff>
    </xdr:from>
    <xdr:to>
      <xdr:col>4</xdr:col>
      <xdr:colOff>3933265</xdr:colOff>
      <xdr:row>94</xdr:row>
      <xdr:rowOff>145677</xdr:rowOff>
    </xdr:to>
    <xdr:cxnSp macro="">
      <xdr:nvCxnSpPr>
        <xdr:cNvPr id="7" name="Connecteur droit avec flèche 6"/>
        <xdr:cNvCxnSpPr/>
      </xdr:nvCxnSpPr>
      <xdr:spPr>
        <a:xfrm flipV="1">
          <a:off x="2913531" y="18411265"/>
          <a:ext cx="3417793" cy="58270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762000</xdr:colOff>
      <xdr:row>91</xdr:row>
      <xdr:rowOff>44823</xdr:rowOff>
    </xdr:from>
    <xdr:to>
      <xdr:col>3</xdr:col>
      <xdr:colOff>762001</xdr:colOff>
      <xdr:row>95</xdr:row>
      <xdr:rowOff>11209</xdr:rowOff>
    </xdr:to>
    <xdr:cxnSp macro="">
      <xdr:nvCxnSpPr>
        <xdr:cNvPr id="12" name="Connecteur droit avec flèche 11"/>
        <xdr:cNvCxnSpPr/>
      </xdr:nvCxnSpPr>
      <xdr:spPr>
        <a:xfrm rot="5400000">
          <a:off x="2795867" y="18551339"/>
          <a:ext cx="728386"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76199</xdr:colOff>
      <xdr:row>0</xdr:row>
      <xdr:rowOff>161926</xdr:rowOff>
    </xdr:from>
    <xdr:to>
      <xdr:col>8</xdr:col>
      <xdr:colOff>76200</xdr:colOff>
      <xdr:row>0</xdr:row>
      <xdr:rowOff>371476</xdr:rowOff>
    </xdr:to>
    <xdr:sp macro="[0]!QCGHELP" textlink="">
      <xdr:nvSpPr>
        <xdr:cNvPr id="24" name="Organigramme : Alternative 23"/>
        <xdr:cNvSpPr/>
      </xdr:nvSpPr>
      <xdr:spPr>
        <a:xfrm>
          <a:off x="9782174" y="161926"/>
          <a:ext cx="828676" cy="209550"/>
        </a:xfrm>
        <a:prstGeom prst="flowChartAlternateProcess">
          <a:avLst/>
        </a:prstGeom>
        <a:ln/>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100" b="0" cap="none" spc="0">
              <a:ln w="19050">
                <a:solidFill>
                  <a:schemeClr val="tx2">
                    <a:lumMod val="75000"/>
                  </a:schemeClr>
                </a:solidFill>
                <a:prstDash val="solid"/>
              </a:ln>
              <a:solidFill>
                <a:schemeClr val="tx2">
                  <a:lumMod val="75000"/>
                </a:schemeClr>
              </a:solidFill>
              <a:effectLst/>
            </a:rPr>
            <a:t>Aide...</a:t>
          </a:r>
        </a:p>
      </xdr:txBody>
    </xdr:sp>
    <xdr:clientData/>
  </xdr:twoCellAnchor>
  <xdr:twoCellAnchor>
    <xdr:from>
      <xdr:col>5</xdr:col>
      <xdr:colOff>112059</xdr:colOff>
      <xdr:row>146</xdr:row>
      <xdr:rowOff>44824</xdr:rowOff>
    </xdr:from>
    <xdr:to>
      <xdr:col>5</xdr:col>
      <xdr:colOff>1109383</xdr:colOff>
      <xdr:row>146</xdr:row>
      <xdr:rowOff>156883</xdr:rowOff>
    </xdr:to>
    <xdr:sp macro="[0]!CLIC1ECHEC" textlink="">
      <xdr:nvSpPr>
        <xdr:cNvPr id="10" name="Rectangle 9"/>
        <xdr:cNvSpPr/>
      </xdr:nvSpPr>
      <xdr:spPr>
        <a:xfrm>
          <a:off x="6219265" y="28989618"/>
          <a:ext cx="997324" cy="112059"/>
        </a:xfrm>
        <a:prstGeom prst="rect">
          <a:avLst/>
        </a:prstGeom>
        <a:solidFill>
          <a:schemeClr val="lt1">
            <a:alpha val="0"/>
          </a:schemeClr>
        </a:solidFill>
        <a:ln>
          <a:no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5</xdr:col>
      <xdr:colOff>112059</xdr:colOff>
      <xdr:row>147</xdr:row>
      <xdr:rowOff>56030</xdr:rowOff>
    </xdr:from>
    <xdr:to>
      <xdr:col>5</xdr:col>
      <xdr:colOff>1086971</xdr:colOff>
      <xdr:row>147</xdr:row>
      <xdr:rowOff>156883</xdr:rowOff>
    </xdr:to>
    <xdr:sp macro="[0]!clic2" textlink="">
      <xdr:nvSpPr>
        <xdr:cNvPr id="11" name="Rectangle 10"/>
        <xdr:cNvSpPr/>
      </xdr:nvSpPr>
      <xdr:spPr>
        <a:xfrm>
          <a:off x="6219265" y="29191324"/>
          <a:ext cx="974912" cy="100853"/>
        </a:xfrm>
        <a:prstGeom prst="rect">
          <a:avLst/>
        </a:prstGeom>
        <a:solidFill>
          <a:schemeClr val="lt1">
            <a:alpha val="0"/>
          </a:schemeClr>
        </a:solidFill>
        <a:ln>
          <a:no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13</xdr:col>
      <xdr:colOff>86284</xdr:colOff>
      <xdr:row>143</xdr:row>
      <xdr:rowOff>103653</xdr:rowOff>
    </xdr:from>
    <xdr:to>
      <xdr:col>17</xdr:col>
      <xdr:colOff>285749</xdr:colOff>
      <xdr:row>145</xdr:row>
      <xdr:rowOff>95251</xdr:rowOff>
    </xdr:to>
    <xdr:sp macro="[0]!RAZECHEC" textlink="">
      <xdr:nvSpPr>
        <xdr:cNvPr id="13" name="Rectangle 12"/>
        <xdr:cNvSpPr/>
      </xdr:nvSpPr>
      <xdr:spPr>
        <a:xfrm>
          <a:off x="12125884" y="27735678"/>
          <a:ext cx="1285315" cy="372598"/>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100" b="1" i="1">
              <a:solidFill>
                <a:schemeClr val="bg1"/>
              </a:solidFill>
            </a:rPr>
            <a:t>Recommencer</a:t>
          </a:r>
          <a:r>
            <a:rPr lang="fr-FR" sz="1100" b="1" i="1" baseline="0">
              <a:solidFill>
                <a:schemeClr val="bg1"/>
              </a:solidFill>
            </a:rPr>
            <a:t> ?</a:t>
          </a:r>
          <a:endParaRPr lang="fr-FR" sz="1000" b="0" i="1">
            <a:solidFill>
              <a:schemeClr val="bg1"/>
            </a:solidFill>
          </a:endParaRPr>
        </a:p>
      </xdr:txBody>
    </xdr:sp>
    <xdr:clientData/>
  </xdr:twoCellAnchor>
  <xdr:twoCellAnchor>
    <xdr:from>
      <xdr:col>5</xdr:col>
      <xdr:colOff>67235</xdr:colOff>
      <xdr:row>148</xdr:row>
      <xdr:rowOff>44824</xdr:rowOff>
    </xdr:from>
    <xdr:to>
      <xdr:col>5</xdr:col>
      <xdr:colOff>1042147</xdr:colOff>
      <xdr:row>148</xdr:row>
      <xdr:rowOff>145677</xdr:rowOff>
    </xdr:to>
    <xdr:sp macro="[0]!CLIC3" textlink="">
      <xdr:nvSpPr>
        <xdr:cNvPr id="14" name="Rectangle 13"/>
        <xdr:cNvSpPr/>
      </xdr:nvSpPr>
      <xdr:spPr>
        <a:xfrm>
          <a:off x="6174441" y="29370618"/>
          <a:ext cx="974912" cy="100853"/>
        </a:xfrm>
        <a:prstGeom prst="rect">
          <a:avLst/>
        </a:prstGeom>
        <a:solidFill>
          <a:schemeClr val="lt1">
            <a:alpha val="0"/>
          </a:schemeClr>
        </a:solidFill>
        <a:ln>
          <a:no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5</xdr:col>
      <xdr:colOff>112059</xdr:colOff>
      <xdr:row>149</xdr:row>
      <xdr:rowOff>44824</xdr:rowOff>
    </xdr:from>
    <xdr:to>
      <xdr:col>5</xdr:col>
      <xdr:colOff>1086971</xdr:colOff>
      <xdr:row>149</xdr:row>
      <xdr:rowOff>145677</xdr:rowOff>
    </xdr:to>
    <xdr:sp macro="[0]!CLIC4" textlink="">
      <xdr:nvSpPr>
        <xdr:cNvPr id="15" name="Rectangle 14"/>
        <xdr:cNvSpPr/>
      </xdr:nvSpPr>
      <xdr:spPr>
        <a:xfrm>
          <a:off x="6219265" y="29561118"/>
          <a:ext cx="974912" cy="100853"/>
        </a:xfrm>
        <a:prstGeom prst="rect">
          <a:avLst/>
        </a:prstGeom>
        <a:solidFill>
          <a:schemeClr val="lt1">
            <a:alpha val="0"/>
          </a:schemeClr>
        </a:solidFill>
        <a:ln>
          <a:no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8</xdr:col>
      <xdr:colOff>190501</xdr:colOff>
      <xdr:row>0</xdr:row>
      <xdr:rowOff>150160</xdr:rowOff>
    </xdr:from>
    <xdr:to>
      <xdr:col>16</xdr:col>
      <xdr:colOff>28575</xdr:colOff>
      <xdr:row>0</xdr:row>
      <xdr:rowOff>390525</xdr:rowOff>
    </xdr:to>
    <xdr:sp macro="[0]!SUPPQCG" textlink="">
      <xdr:nvSpPr>
        <xdr:cNvPr id="17" name="Organigramme : Alternative 16"/>
        <xdr:cNvSpPr/>
      </xdr:nvSpPr>
      <xdr:spPr>
        <a:xfrm>
          <a:off x="10725151" y="150160"/>
          <a:ext cx="2124074" cy="240365"/>
        </a:xfrm>
        <a:prstGeom prst="flowChartAlternateProcess">
          <a:avLst/>
        </a:prstGeom>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200" b="1"/>
            <a:t>Effacer </a:t>
          </a:r>
          <a:r>
            <a:rPr lang="fr-FR" sz="1200" b="1">
              <a:solidFill>
                <a:srgbClr val="66FFCC"/>
              </a:solidFill>
            </a:rPr>
            <a:t>TOUTES</a:t>
          </a:r>
          <a:r>
            <a:rPr lang="fr-FR" sz="1200" b="1"/>
            <a:t> vos réponses</a:t>
          </a:r>
        </a:p>
      </xdr:txBody>
    </xdr:sp>
    <xdr:clientData/>
  </xdr:twoCellAnchor>
  <xdr:twoCellAnchor>
    <xdr:from>
      <xdr:col>5</xdr:col>
      <xdr:colOff>112059</xdr:colOff>
      <xdr:row>147</xdr:row>
      <xdr:rowOff>44824</xdr:rowOff>
    </xdr:from>
    <xdr:to>
      <xdr:col>5</xdr:col>
      <xdr:colOff>1109383</xdr:colOff>
      <xdr:row>147</xdr:row>
      <xdr:rowOff>156883</xdr:rowOff>
    </xdr:to>
    <xdr:sp macro="[0]!clic1" textlink="">
      <xdr:nvSpPr>
        <xdr:cNvPr id="21" name="Rectangle 20"/>
        <xdr:cNvSpPr/>
      </xdr:nvSpPr>
      <xdr:spPr>
        <a:xfrm>
          <a:off x="7933765" y="28261236"/>
          <a:ext cx="997324" cy="112059"/>
        </a:xfrm>
        <a:prstGeom prst="rect">
          <a:avLst/>
        </a:prstGeom>
        <a:solidFill>
          <a:schemeClr val="lt1">
            <a:alpha val="0"/>
          </a:schemeClr>
        </a:solidFill>
        <a:ln>
          <a:no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5</xdr:col>
      <xdr:colOff>112059</xdr:colOff>
      <xdr:row>148</xdr:row>
      <xdr:rowOff>44824</xdr:rowOff>
    </xdr:from>
    <xdr:to>
      <xdr:col>5</xdr:col>
      <xdr:colOff>1109383</xdr:colOff>
      <xdr:row>148</xdr:row>
      <xdr:rowOff>156883</xdr:rowOff>
    </xdr:to>
    <xdr:sp macro="[0]!clic1" textlink="">
      <xdr:nvSpPr>
        <xdr:cNvPr id="22" name="Rectangle 21"/>
        <xdr:cNvSpPr/>
      </xdr:nvSpPr>
      <xdr:spPr>
        <a:xfrm>
          <a:off x="7933765" y="28261236"/>
          <a:ext cx="997324" cy="112059"/>
        </a:xfrm>
        <a:prstGeom prst="rect">
          <a:avLst/>
        </a:prstGeom>
        <a:solidFill>
          <a:schemeClr val="lt1">
            <a:alpha val="0"/>
          </a:schemeClr>
        </a:solidFill>
        <a:ln>
          <a:no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5</xdr:col>
      <xdr:colOff>112059</xdr:colOff>
      <xdr:row>147</xdr:row>
      <xdr:rowOff>44824</xdr:rowOff>
    </xdr:from>
    <xdr:to>
      <xdr:col>5</xdr:col>
      <xdr:colOff>1109383</xdr:colOff>
      <xdr:row>147</xdr:row>
      <xdr:rowOff>156883</xdr:rowOff>
    </xdr:to>
    <xdr:sp macro="[0]!CLIC2ECHEC" textlink="">
      <xdr:nvSpPr>
        <xdr:cNvPr id="23" name="Rectangle 22"/>
        <xdr:cNvSpPr/>
      </xdr:nvSpPr>
      <xdr:spPr>
        <a:xfrm>
          <a:off x="7933765" y="28261236"/>
          <a:ext cx="997324" cy="112059"/>
        </a:xfrm>
        <a:prstGeom prst="rect">
          <a:avLst/>
        </a:prstGeom>
        <a:solidFill>
          <a:schemeClr val="lt1">
            <a:alpha val="0"/>
          </a:schemeClr>
        </a:solidFill>
        <a:ln>
          <a:no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5</xdr:col>
      <xdr:colOff>112059</xdr:colOff>
      <xdr:row>148</xdr:row>
      <xdr:rowOff>44824</xdr:rowOff>
    </xdr:from>
    <xdr:to>
      <xdr:col>5</xdr:col>
      <xdr:colOff>1109383</xdr:colOff>
      <xdr:row>148</xdr:row>
      <xdr:rowOff>156883</xdr:rowOff>
    </xdr:to>
    <xdr:sp macro="[0]!CLIC3ECHEC" textlink="">
      <xdr:nvSpPr>
        <xdr:cNvPr id="25" name="Rectangle 24"/>
        <xdr:cNvSpPr/>
      </xdr:nvSpPr>
      <xdr:spPr>
        <a:xfrm>
          <a:off x="7933765" y="28261236"/>
          <a:ext cx="997324" cy="112059"/>
        </a:xfrm>
        <a:prstGeom prst="rect">
          <a:avLst/>
        </a:prstGeom>
        <a:solidFill>
          <a:schemeClr val="lt1">
            <a:alpha val="0"/>
          </a:schemeClr>
        </a:solidFill>
        <a:ln>
          <a:no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5</xdr:col>
      <xdr:colOff>112059</xdr:colOff>
      <xdr:row>149</xdr:row>
      <xdr:rowOff>44824</xdr:rowOff>
    </xdr:from>
    <xdr:to>
      <xdr:col>5</xdr:col>
      <xdr:colOff>1109383</xdr:colOff>
      <xdr:row>149</xdr:row>
      <xdr:rowOff>156883</xdr:rowOff>
    </xdr:to>
    <xdr:sp macro="[0]!CLIC4ECHEC" textlink="">
      <xdr:nvSpPr>
        <xdr:cNvPr id="26" name="Rectangle 25"/>
        <xdr:cNvSpPr/>
      </xdr:nvSpPr>
      <xdr:spPr>
        <a:xfrm>
          <a:off x="7933765" y="28261236"/>
          <a:ext cx="997324" cy="112059"/>
        </a:xfrm>
        <a:prstGeom prst="rect">
          <a:avLst/>
        </a:prstGeom>
        <a:solidFill>
          <a:schemeClr val="lt1">
            <a:alpha val="0"/>
          </a:schemeClr>
        </a:solidFill>
        <a:ln>
          <a:noFill/>
        </a:ln>
      </xdr:spPr>
      <xdr:style>
        <a:lnRef idx="2">
          <a:schemeClr val="dk1"/>
        </a:lnRef>
        <a:fillRef idx="1">
          <a:schemeClr val="lt1"/>
        </a:fillRef>
        <a:effectRef idx="0">
          <a:schemeClr val="dk1"/>
        </a:effectRef>
        <a:fontRef idx="minor">
          <a:schemeClr val="dk1"/>
        </a:fontRef>
      </xdr:style>
      <xdr:txBody>
        <a:bodyPr vertOverflow="clip" rtlCol="0" anchor="ctr"/>
        <a:lstStyle/>
        <a:p>
          <a:pPr algn="ctr"/>
          <a:endParaRPr lang="fr-FR" sz="1100"/>
        </a:p>
      </xdr:txBody>
    </xdr:sp>
    <xdr:clientData/>
  </xdr:twoCellAnchor>
  <xdr:twoCellAnchor>
    <xdr:from>
      <xdr:col>16</xdr:col>
      <xdr:colOff>86285</xdr:colOff>
      <xdr:row>0</xdr:row>
      <xdr:rowOff>12887</xdr:rowOff>
    </xdr:from>
    <xdr:to>
      <xdr:col>17</xdr:col>
      <xdr:colOff>258294</xdr:colOff>
      <xdr:row>0</xdr:row>
      <xdr:rowOff>527237</xdr:rowOff>
    </xdr:to>
    <xdr:sp macro="[0]!FERMQCG" textlink="">
      <xdr:nvSpPr>
        <xdr:cNvPr id="27" name="Flèche droite rayée 26"/>
        <xdr:cNvSpPr/>
      </xdr:nvSpPr>
      <xdr:spPr>
        <a:xfrm>
          <a:off x="12906935" y="12887"/>
          <a:ext cx="476809" cy="514350"/>
        </a:xfrm>
        <a:prstGeom prst="stripedRightArrow">
          <a:avLst/>
        </a:prstGeom>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7</xdr:col>
      <xdr:colOff>9525</xdr:colOff>
      <xdr:row>60</xdr:row>
      <xdr:rowOff>85725</xdr:rowOff>
    </xdr:from>
    <xdr:to>
      <xdr:col>15</xdr:col>
      <xdr:colOff>257175</xdr:colOff>
      <xdr:row>60</xdr:row>
      <xdr:rowOff>131444</xdr:rowOff>
    </xdr:to>
    <xdr:sp macro="[0]!VersHeure_PageQCG" textlink="">
      <xdr:nvSpPr>
        <xdr:cNvPr id="20" name="Rectangle 19"/>
        <xdr:cNvSpPr/>
      </xdr:nvSpPr>
      <xdr:spPr>
        <a:xfrm>
          <a:off x="9715500" y="11868150"/>
          <a:ext cx="3067050" cy="457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752475</xdr:colOff>
      <xdr:row>167</xdr:row>
      <xdr:rowOff>85725</xdr:rowOff>
    </xdr:from>
    <xdr:to>
      <xdr:col>15</xdr:col>
      <xdr:colOff>238125</xdr:colOff>
      <xdr:row>167</xdr:row>
      <xdr:rowOff>131444</xdr:rowOff>
    </xdr:to>
    <xdr:sp macro="[0]!VersPesee_PageQCG" textlink="">
      <xdr:nvSpPr>
        <xdr:cNvPr id="28" name="Rectangle 27"/>
        <xdr:cNvSpPr/>
      </xdr:nvSpPr>
      <xdr:spPr>
        <a:xfrm>
          <a:off x="9696450" y="32289750"/>
          <a:ext cx="3067050" cy="457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733425</xdr:colOff>
      <xdr:row>95</xdr:row>
      <xdr:rowOff>95250</xdr:rowOff>
    </xdr:from>
    <xdr:to>
      <xdr:col>15</xdr:col>
      <xdr:colOff>219075</xdr:colOff>
      <xdr:row>95</xdr:row>
      <xdr:rowOff>140969</xdr:rowOff>
    </xdr:to>
    <xdr:sp macro="[0]!VersLogique_PageQCG" textlink="">
      <xdr:nvSpPr>
        <xdr:cNvPr id="29" name="Rectangle 28"/>
        <xdr:cNvSpPr/>
      </xdr:nvSpPr>
      <xdr:spPr>
        <a:xfrm>
          <a:off x="9677400" y="18573750"/>
          <a:ext cx="3067050" cy="457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361950</xdr:colOff>
      <xdr:row>16</xdr:row>
      <xdr:rowOff>156482</xdr:rowOff>
    </xdr:from>
    <xdr:to>
      <xdr:col>7</xdr:col>
      <xdr:colOff>228600</xdr:colOff>
      <xdr:row>25</xdr:row>
      <xdr:rowOff>133350</xdr:rowOff>
    </xdr:to>
    <xdr:pic>
      <xdr:nvPicPr>
        <xdr:cNvPr id="2" name="Image 1" descr="bourse-euro.png"/>
        <xdr:cNvPicPr>
          <a:picLocks noChangeAspect="1"/>
        </xdr:cNvPicPr>
      </xdr:nvPicPr>
      <xdr:blipFill>
        <a:blip xmlns:r="http://schemas.openxmlformats.org/officeDocument/2006/relationships" r:embed="rId1" cstate="print"/>
        <a:stretch>
          <a:fillRect/>
        </a:stretch>
      </xdr:blipFill>
      <xdr:spPr>
        <a:xfrm>
          <a:off x="3400425" y="3575957"/>
          <a:ext cx="2152650" cy="1691368"/>
        </a:xfrm>
        <a:prstGeom prst="rect">
          <a:avLst/>
        </a:prstGeom>
      </xdr:spPr>
    </xdr:pic>
    <xdr:clientData/>
  </xdr:twoCellAnchor>
  <xdr:twoCellAnchor editAs="oneCell">
    <xdr:from>
      <xdr:col>9</xdr:col>
      <xdr:colOff>104773</xdr:colOff>
      <xdr:row>4</xdr:row>
      <xdr:rowOff>180975</xdr:rowOff>
    </xdr:from>
    <xdr:to>
      <xdr:col>12</xdr:col>
      <xdr:colOff>180974</xdr:colOff>
      <xdr:row>13</xdr:row>
      <xdr:rowOff>114300</xdr:rowOff>
    </xdr:to>
    <xdr:pic>
      <xdr:nvPicPr>
        <xdr:cNvPr id="3" name="Image 2" descr="P934253.jpg"/>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blip>
        <a:srcRect t="12903" b="14919"/>
        <a:stretch>
          <a:fillRect/>
        </a:stretch>
      </xdr:blipFill>
      <xdr:spPr>
        <a:xfrm>
          <a:off x="6953248" y="1314450"/>
          <a:ext cx="2362201" cy="1704975"/>
        </a:xfrm>
        <a:prstGeom prst="rect">
          <a:avLst/>
        </a:prstGeom>
      </xdr:spPr>
    </xdr:pic>
    <xdr:clientData/>
  </xdr:twoCellAnchor>
  <xdr:twoCellAnchor editAs="oneCell">
    <xdr:from>
      <xdr:col>2</xdr:col>
      <xdr:colOff>600074</xdr:colOff>
      <xdr:row>11</xdr:row>
      <xdr:rowOff>138112</xdr:rowOff>
    </xdr:from>
    <xdr:to>
      <xdr:col>6</xdr:col>
      <xdr:colOff>152399</xdr:colOff>
      <xdr:row>22</xdr:row>
      <xdr:rowOff>66675</xdr:rowOff>
    </xdr:to>
    <xdr:pic>
      <xdr:nvPicPr>
        <xdr:cNvPr id="4" name="Image 3" descr="bourse-euro.png"/>
        <xdr:cNvPicPr>
          <a:picLocks noChangeAspect="1"/>
        </xdr:cNvPicPr>
      </xdr:nvPicPr>
      <xdr:blipFill>
        <a:blip xmlns:r="http://schemas.openxmlformats.org/officeDocument/2006/relationships" r:embed="rId1" cstate="print"/>
        <a:stretch>
          <a:fillRect/>
        </a:stretch>
      </xdr:blipFill>
      <xdr:spPr>
        <a:xfrm>
          <a:off x="2114549" y="2605087"/>
          <a:ext cx="2600325" cy="2043113"/>
        </a:xfrm>
        <a:prstGeom prst="rect">
          <a:avLst/>
        </a:prstGeom>
      </xdr:spPr>
    </xdr:pic>
    <xdr:clientData/>
  </xdr:twoCellAnchor>
  <xdr:twoCellAnchor editAs="oneCell">
    <xdr:from>
      <xdr:col>0</xdr:col>
      <xdr:colOff>209550</xdr:colOff>
      <xdr:row>20</xdr:row>
      <xdr:rowOff>142875</xdr:rowOff>
    </xdr:from>
    <xdr:to>
      <xdr:col>1</xdr:col>
      <xdr:colOff>463261</xdr:colOff>
      <xdr:row>24</xdr:row>
      <xdr:rowOff>171450</xdr:rowOff>
    </xdr:to>
    <xdr:pic>
      <xdr:nvPicPr>
        <xdr:cNvPr id="5" name="Image 4" descr="bourse-euro.png"/>
        <xdr:cNvPicPr>
          <a:picLocks noChangeAspect="1"/>
        </xdr:cNvPicPr>
      </xdr:nvPicPr>
      <xdr:blipFill>
        <a:blip xmlns:r="http://schemas.openxmlformats.org/officeDocument/2006/relationships" r:embed="rId3" cstate="print"/>
        <a:stretch>
          <a:fillRect/>
        </a:stretch>
      </xdr:blipFill>
      <xdr:spPr>
        <a:xfrm>
          <a:off x="209550" y="4324350"/>
          <a:ext cx="1006186" cy="790575"/>
        </a:xfrm>
        <a:prstGeom prst="rect">
          <a:avLst/>
        </a:prstGeom>
      </xdr:spPr>
    </xdr:pic>
    <xdr:clientData/>
  </xdr:twoCellAnchor>
  <xdr:twoCellAnchor editAs="oneCell">
    <xdr:from>
      <xdr:col>0</xdr:col>
      <xdr:colOff>0</xdr:colOff>
      <xdr:row>13</xdr:row>
      <xdr:rowOff>142875</xdr:rowOff>
    </xdr:from>
    <xdr:to>
      <xdr:col>2</xdr:col>
      <xdr:colOff>152399</xdr:colOff>
      <xdr:row>20</xdr:row>
      <xdr:rowOff>100012</xdr:rowOff>
    </xdr:to>
    <xdr:pic>
      <xdr:nvPicPr>
        <xdr:cNvPr id="6" name="Image 5" descr="bourse-euro.png"/>
        <xdr:cNvPicPr>
          <a:picLocks noChangeAspect="1"/>
        </xdr:cNvPicPr>
      </xdr:nvPicPr>
      <xdr:blipFill>
        <a:blip xmlns:r="http://schemas.openxmlformats.org/officeDocument/2006/relationships" r:embed="rId4" cstate="print"/>
        <a:stretch>
          <a:fillRect/>
        </a:stretch>
      </xdr:blipFill>
      <xdr:spPr>
        <a:xfrm>
          <a:off x="0" y="2990850"/>
          <a:ext cx="1666874" cy="1309687"/>
        </a:xfrm>
        <a:prstGeom prst="rect">
          <a:avLst/>
        </a:prstGeom>
      </xdr:spPr>
    </xdr:pic>
    <xdr:clientData/>
  </xdr:twoCellAnchor>
  <xdr:twoCellAnchor editAs="oneCell">
    <xdr:from>
      <xdr:col>0</xdr:col>
      <xdr:colOff>247650</xdr:colOff>
      <xdr:row>13</xdr:row>
      <xdr:rowOff>12928</xdr:rowOff>
    </xdr:from>
    <xdr:to>
      <xdr:col>4</xdr:col>
      <xdr:colOff>447675</xdr:colOff>
      <xdr:row>26</xdr:row>
      <xdr:rowOff>61914</xdr:rowOff>
    </xdr:to>
    <xdr:pic>
      <xdr:nvPicPr>
        <xdr:cNvPr id="7" name="Image 6" descr="bourse-euro.png"/>
        <xdr:cNvPicPr>
          <a:picLocks noChangeAspect="1"/>
        </xdr:cNvPicPr>
      </xdr:nvPicPr>
      <xdr:blipFill>
        <a:blip xmlns:r="http://schemas.openxmlformats.org/officeDocument/2006/relationships" r:embed="rId1" cstate="print"/>
        <a:stretch>
          <a:fillRect/>
        </a:stretch>
      </xdr:blipFill>
      <xdr:spPr>
        <a:xfrm>
          <a:off x="247650" y="2918053"/>
          <a:ext cx="3238500" cy="2544536"/>
        </a:xfrm>
        <a:prstGeom prst="rect">
          <a:avLst/>
        </a:prstGeom>
      </xdr:spPr>
    </xdr:pic>
    <xdr:clientData/>
  </xdr:twoCellAnchor>
  <xdr:twoCellAnchor editAs="oneCell">
    <xdr:from>
      <xdr:col>6</xdr:col>
      <xdr:colOff>0</xdr:colOff>
      <xdr:row>25</xdr:row>
      <xdr:rowOff>0</xdr:rowOff>
    </xdr:from>
    <xdr:to>
      <xdr:col>7</xdr:col>
      <xdr:colOff>9525</xdr:colOff>
      <xdr:row>26</xdr:row>
      <xdr:rowOff>9525</xdr:rowOff>
    </xdr:to>
    <xdr:pic>
      <xdr:nvPicPr>
        <xdr:cNvPr id="19457" name="Picture 1"/>
        <xdr:cNvPicPr>
          <a:picLocks noChangeAspect="1" noChangeArrowheads="1"/>
        </xdr:cNvPicPr>
      </xdr:nvPicPr>
      <xdr:blipFill>
        <a:blip xmlns:r="http://schemas.openxmlformats.org/officeDocument/2006/relationships" r:embed="rId5" cstate="print"/>
        <a:srcRect/>
        <a:stretch>
          <a:fillRect/>
        </a:stretch>
      </xdr:blipFill>
      <xdr:spPr bwMode="auto">
        <a:xfrm>
          <a:off x="4562475" y="4943475"/>
          <a:ext cx="771525" cy="200025"/>
        </a:xfrm>
        <a:prstGeom prst="rect">
          <a:avLst/>
        </a:prstGeom>
        <a:noFill/>
      </xdr:spPr>
    </xdr:pic>
    <xdr:clientData/>
  </xdr:twoCellAnchor>
  <xdr:twoCellAnchor editAs="oneCell">
    <xdr:from>
      <xdr:col>3</xdr:col>
      <xdr:colOff>685800</xdr:colOff>
      <xdr:row>21</xdr:row>
      <xdr:rowOff>114300</xdr:rowOff>
    </xdr:from>
    <xdr:to>
      <xdr:col>4</xdr:col>
      <xdr:colOff>663286</xdr:colOff>
      <xdr:row>24</xdr:row>
      <xdr:rowOff>123825</xdr:rowOff>
    </xdr:to>
    <xdr:pic>
      <xdr:nvPicPr>
        <xdr:cNvPr id="9" name="Image 8" descr="bourse-euro.png"/>
        <xdr:cNvPicPr>
          <a:picLocks noChangeAspect="1"/>
        </xdr:cNvPicPr>
      </xdr:nvPicPr>
      <xdr:blipFill>
        <a:blip xmlns:r="http://schemas.openxmlformats.org/officeDocument/2006/relationships" r:embed="rId6" cstate="print"/>
        <a:stretch>
          <a:fillRect/>
        </a:stretch>
      </xdr:blipFill>
      <xdr:spPr>
        <a:xfrm>
          <a:off x="2962275" y="4486275"/>
          <a:ext cx="739486" cy="581025"/>
        </a:xfrm>
        <a:prstGeom prst="rect">
          <a:avLst/>
        </a:prstGeom>
      </xdr:spPr>
    </xdr:pic>
    <xdr:clientData/>
  </xdr:twoCellAnchor>
  <xdr:twoCellAnchor>
    <xdr:from>
      <xdr:col>12</xdr:col>
      <xdr:colOff>161925</xdr:colOff>
      <xdr:row>0</xdr:row>
      <xdr:rowOff>28575</xdr:rowOff>
    </xdr:from>
    <xdr:to>
      <xdr:col>12</xdr:col>
      <xdr:colOff>647698</xdr:colOff>
      <xdr:row>0</xdr:row>
      <xdr:rowOff>542925</xdr:rowOff>
    </xdr:to>
    <xdr:sp macro="[0]!RETOURPESEE" textlink="">
      <xdr:nvSpPr>
        <xdr:cNvPr id="10" name="Flèche droite rayée 9"/>
        <xdr:cNvSpPr/>
      </xdr:nvSpPr>
      <xdr:spPr>
        <a:xfrm>
          <a:off x="9296400" y="28575"/>
          <a:ext cx="485773" cy="514350"/>
        </a:xfrm>
        <a:prstGeom prst="stripedRightArrow">
          <a:avLst/>
        </a:prstGeom>
        <a:ln/>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11</xdr:col>
      <xdr:colOff>9525</xdr:colOff>
      <xdr:row>0</xdr:row>
      <xdr:rowOff>161925</xdr:rowOff>
    </xdr:from>
    <xdr:to>
      <xdr:col>11</xdr:col>
      <xdr:colOff>504825</xdr:colOff>
      <xdr:row>0</xdr:row>
      <xdr:rowOff>400050</xdr:rowOff>
    </xdr:to>
    <xdr:sp macro="[0]!DELPESEE" textlink="">
      <xdr:nvSpPr>
        <xdr:cNvPr id="11" name="Rectangle à coins arrondis 10"/>
        <xdr:cNvSpPr/>
      </xdr:nvSpPr>
      <xdr:spPr>
        <a:xfrm>
          <a:off x="8382000" y="161925"/>
          <a:ext cx="495300" cy="238125"/>
        </a:xfrm>
        <a:prstGeom prst="roundRect">
          <a:avLst/>
        </a:prstGeom>
        <a:effectLst>
          <a:glow rad="228600">
            <a:schemeClr val="accent4">
              <a:satMod val="175000"/>
              <a:alpha val="40000"/>
            </a:schemeClr>
          </a:glow>
          <a:outerShdw blurRad="50800" dist="38100" dir="10800000" algn="r" rotWithShape="0">
            <a:prstClr val="black">
              <a:alpha val="40000"/>
            </a:prstClr>
          </a:outerShdw>
        </a:effectLst>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200" b="1"/>
            <a:t>RAZ</a:t>
          </a:r>
        </a:p>
      </xdr:txBody>
    </xdr:sp>
    <xdr:clientData/>
  </xdr:twoCellAnchor>
  <xdr:twoCellAnchor>
    <xdr:from>
      <xdr:col>0</xdr:col>
      <xdr:colOff>133350</xdr:colOff>
      <xdr:row>0</xdr:row>
      <xdr:rowOff>152400</xdr:rowOff>
    </xdr:from>
    <xdr:to>
      <xdr:col>0</xdr:col>
      <xdr:colOff>620395</xdr:colOff>
      <xdr:row>0</xdr:row>
      <xdr:rowOff>325149</xdr:rowOff>
    </xdr:to>
    <xdr:sp macro="" textlink="">
      <xdr:nvSpPr>
        <xdr:cNvPr id="12" name="Rectangle à coins arrondis 11"/>
        <xdr:cNvSpPr/>
      </xdr:nvSpPr>
      <xdr:spPr>
        <a:xfrm>
          <a:off x="133350" y="15240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285750</xdr:colOff>
      <xdr:row>4</xdr:row>
      <xdr:rowOff>19051</xdr:rowOff>
    </xdr:from>
    <xdr:to>
      <xdr:col>8</xdr:col>
      <xdr:colOff>170050</xdr:colOff>
      <xdr:row>4</xdr:row>
      <xdr:rowOff>2153679</xdr:rowOff>
    </xdr:to>
    <xdr:pic>
      <xdr:nvPicPr>
        <xdr:cNvPr id="14340" name="Picture 4"/>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a:stretch>
          <a:fillRect/>
        </a:stretch>
      </xdr:blipFill>
      <xdr:spPr bwMode="auto">
        <a:xfrm>
          <a:off x="285750" y="1181101"/>
          <a:ext cx="10933300" cy="2134628"/>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8</xdr:col>
      <xdr:colOff>76200</xdr:colOff>
      <xdr:row>0</xdr:row>
      <xdr:rowOff>28575</xdr:rowOff>
    </xdr:from>
    <xdr:to>
      <xdr:col>8</xdr:col>
      <xdr:colOff>561973</xdr:colOff>
      <xdr:row>0</xdr:row>
      <xdr:rowOff>542925</xdr:rowOff>
    </xdr:to>
    <xdr:sp macro="[0]!RETOURHeure" textlink="">
      <xdr:nvSpPr>
        <xdr:cNvPr id="4" name="Flèche droite rayée 3"/>
        <xdr:cNvSpPr/>
      </xdr:nvSpPr>
      <xdr:spPr>
        <a:xfrm>
          <a:off x="11125200" y="28575"/>
          <a:ext cx="485773" cy="514350"/>
        </a:xfrm>
        <a:prstGeom prst="stripedRightArrow">
          <a:avLst/>
        </a:prstGeom>
        <a:ln/>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7</xdr:col>
      <xdr:colOff>571500</xdr:colOff>
      <xdr:row>0</xdr:row>
      <xdr:rowOff>142876</xdr:rowOff>
    </xdr:from>
    <xdr:to>
      <xdr:col>7</xdr:col>
      <xdr:colOff>1076325</xdr:colOff>
      <xdr:row>0</xdr:row>
      <xdr:rowOff>409576</xdr:rowOff>
    </xdr:to>
    <xdr:sp macro="[0]!DELHEURE" textlink="">
      <xdr:nvSpPr>
        <xdr:cNvPr id="6" name="Rectangle à coins arrondis 5"/>
        <xdr:cNvSpPr/>
      </xdr:nvSpPr>
      <xdr:spPr>
        <a:xfrm>
          <a:off x="10239375" y="142876"/>
          <a:ext cx="504825" cy="266700"/>
        </a:xfrm>
        <a:prstGeom prst="roundRect">
          <a:avLst/>
        </a:prstGeom>
        <a:effectLst>
          <a:outerShdw blurRad="50800" dist="38100" dir="8100000" algn="tr" rotWithShape="0">
            <a:prstClr val="black">
              <a:alpha val="40000"/>
            </a:prstClr>
          </a:outerShdw>
        </a:effectLst>
        <a:scene3d>
          <a:camera prst="orthographicFront">
            <a:rot lat="0" lon="0" rev="0"/>
          </a:camera>
          <a:lightRig rig="threePt" dir="t">
            <a:rot lat="0" lon="0" rev="1200000"/>
          </a:lightRig>
        </a:scene3d>
        <a:sp3d>
          <a:bevelT w="63500" h="25400" prst="coolSlant"/>
        </a:sp3d>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1200" b="1"/>
            <a:t>RAZ</a:t>
          </a:r>
        </a:p>
      </xdr:txBody>
    </xdr:sp>
    <xdr:clientData/>
  </xdr:twoCellAnchor>
  <xdr:twoCellAnchor>
    <xdr:from>
      <xdr:col>0</xdr:col>
      <xdr:colOff>161925</xdr:colOff>
      <xdr:row>0</xdr:row>
      <xdr:rowOff>171450</xdr:rowOff>
    </xdr:from>
    <xdr:to>
      <xdr:col>0</xdr:col>
      <xdr:colOff>648970</xdr:colOff>
      <xdr:row>0</xdr:row>
      <xdr:rowOff>344199</xdr:rowOff>
    </xdr:to>
    <xdr:sp macro="" textlink="">
      <xdr:nvSpPr>
        <xdr:cNvPr id="5" name="Rectangle à coins arrondis 4"/>
        <xdr:cNvSpPr/>
      </xdr:nvSpPr>
      <xdr:spPr>
        <a:xfrm>
          <a:off x="161925" y="17145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21</xdr:col>
      <xdr:colOff>276226</xdr:colOff>
      <xdr:row>38</xdr:row>
      <xdr:rowOff>0</xdr:rowOff>
    </xdr:from>
    <xdr:to>
      <xdr:col>24</xdr:col>
      <xdr:colOff>38101</xdr:colOff>
      <xdr:row>39</xdr:row>
      <xdr:rowOff>28575</xdr:rowOff>
    </xdr:to>
    <xdr:sp macro="[0]!TABSOL1" textlink="">
      <xdr:nvSpPr>
        <xdr:cNvPr id="2" name="Rectangle à coins arrondis 1"/>
        <xdr:cNvSpPr/>
      </xdr:nvSpPr>
      <xdr:spPr>
        <a:xfrm>
          <a:off x="7343776" y="7543800"/>
          <a:ext cx="7048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21</xdr:col>
      <xdr:colOff>266700</xdr:colOff>
      <xdr:row>39</xdr:row>
      <xdr:rowOff>180975</xdr:rowOff>
    </xdr:from>
    <xdr:to>
      <xdr:col>24</xdr:col>
      <xdr:colOff>28575</xdr:colOff>
      <xdr:row>41</xdr:row>
      <xdr:rowOff>9525</xdr:rowOff>
    </xdr:to>
    <xdr:sp macro="[0]!TABSOL2" textlink="">
      <xdr:nvSpPr>
        <xdr:cNvPr id="3" name="Rectangle à coins arrondis 2"/>
        <xdr:cNvSpPr/>
      </xdr:nvSpPr>
      <xdr:spPr>
        <a:xfrm>
          <a:off x="7334250" y="7915275"/>
          <a:ext cx="7048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29</xdr:col>
      <xdr:colOff>190500</xdr:colOff>
      <xdr:row>23</xdr:row>
      <xdr:rowOff>28575</xdr:rowOff>
    </xdr:from>
    <xdr:to>
      <xdr:col>29</xdr:col>
      <xdr:colOff>419100</xdr:colOff>
      <xdr:row>24</xdr:row>
      <xdr:rowOff>66675</xdr:rowOff>
    </xdr:to>
    <xdr:sp macro="[0]!AIDECLAV" textlink="">
      <xdr:nvSpPr>
        <xdr:cNvPr id="4" name="Sourire 3"/>
        <xdr:cNvSpPr/>
      </xdr:nvSpPr>
      <xdr:spPr>
        <a:xfrm>
          <a:off x="9763125" y="4629150"/>
          <a:ext cx="228600" cy="238125"/>
        </a:xfrm>
        <a:prstGeom prst="smileyFace">
          <a:avLst/>
        </a:prstGeom>
        <a:ln>
          <a:solidFill>
            <a:schemeClr val="bg2">
              <a:lumMod val="50000"/>
            </a:schemeClr>
          </a:solidFill>
        </a:ln>
      </xdr:spPr>
      <xdr:style>
        <a:lnRef idx="2">
          <a:schemeClr val="accent1">
            <a:shade val="50000"/>
          </a:schemeClr>
        </a:lnRef>
        <a:fillRef idx="1003">
          <a:schemeClr val="lt2"/>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29</xdr:col>
      <xdr:colOff>0</xdr:colOff>
      <xdr:row>20</xdr:row>
      <xdr:rowOff>0</xdr:rowOff>
    </xdr:from>
    <xdr:to>
      <xdr:col>29</xdr:col>
      <xdr:colOff>581025</xdr:colOff>
      <xdr:row>21</xdr:row>
      <xdr:rowOff>19050</xdr:rowOff>
    </xdr:to>
    <xdr:sp macro="[0]!SUPP5" textlink="">
      <xdr:nvSpPr>
        <xdr:cNvPr id="12" name="Rectangle à coins arrondis 11"/>
        <xdr:cNvSpPr/>
      </xdr:nvSpPr>
      <xdr:spPr>
        <a:xfrm>
          <a:off x="9267825" y="4010025"/>
          <a:ext cx="581025" cy="219075"/>
        </a:xfrm>
        <a:prstGeom prst="roundRect">
          <a:avLst/>
        </a:prstGeom>
        <a:ln>
          <a:solidFill>
            <a:schemeClr val="tx2">
              <a:lumMod val="75000"/>
            </a:schemeClr>
          </a:solidFill>
        </a:ln>
      </xdr:spPr>
      <xdr:style>
        <a:lnRef idx="2">
          <a:schemeClr val="accent4">
            <a:shade val="50000"/>
          </a:schemeClr>
        </a:lnRef>
        <a:fillRef idx="1003">
          <a:schemeClr val="dk2"/>
        </a:fillRef>
        <a:effectRef idx="0">
          <a:schemeClr val="accent4"/>
        </a:effectRef>
        <a:fontRef idx="minor">
          <a:schemeClr val="lt1"/>
        </a:fontRef>
      </xdr:style>
      <xdr:txBody>
        <a:bodyPr vertOverflow="clip" rtlCol="0" anchor="ctr"/>
        <a:lstStyle/>
        <a:p>
          <a:pPr algn="ctr"/>
          <a:r>
            <a:rPr lang="fr-FR" sz="1100"/>
            <a:t>sup</a:t>
          </a:r>
        </a:p>
      </xdr:txBody>
    </xdr:sp>
    <xdr:clientData/>
  </xdr:twoCellAnchor>
  <xdr:twoCellAnchor>
    <xdr:from>
      <xdr:col>29</xdr:col>
      <xdr:colOff>0</xdr:colOff>
      <xdr:row>16</xdr:row>
      <xdr:rowOff>0</xdr:rowOff>
    </xdr:from>
    <xdr:to>
      <xdr:col>29</xdr:col>
      <xdr:colOff>581025</xdr:colOff>
      <xdr:row>17</xdr:row>
      <xdr:rowOff>19050</xdr:rowOff>
    </xdr:to>
    <xdr:sp macro="[0]!SUPP4" textlink="">
      <xdr:nvSpPr>
        <xdr:cNvPr id="13" name="Rectangle à coins arrondis 12"/>
        <xdr:cNvSpPr/>
      </xdr:nvSpPr>
      <xdr:spPr>
        <a:xfrm>
          <a:off x="9267825" y="3228975"/>
          <a:ext cx="581025" cy="219075"/>
        </a:xfrm>
        <a:prstGeom prst="roundRect">
          <a:avLst/>
        </a:prstGeom>
        <a:ln>
          <a:solidFill>
            <a:schemeClr val="tx2">
              <a:lumMod val="75000"/>
            </a:schemeClr>
          </a:solidFill>
        </a:ln>
      </xdr:spPr>
      <xdr:style>
        <a:lnRef idx="2">
          <a:schemeClr val="accent4">
            <a:shade val="50000"/>
          </a:schemeClr>
        </a:lnRef>
        <a:fillRef idx="1003">
          <a:schemeClr val="dk2"/>
        </a:fillRef>
        <a:effectRef idx="0">
          <a:schemeClr val="accent4"/>
        </a:effectRef>
        <a:fontRef idx="minor">
          <a:schemeClr val="lt1"/>
        </a:fontRef>
      </xdr:style>
      <xdr:txBody>
        <a:bodyPr vertOverflow="clip" rtlCol="0" anchor="ctr"/>
        <a:lstStyle/>
        <a:p>
          <a:pPr algn="ctr"/>
          <a:r>
            <a:rPr lang="fr-FR" sz="1100"/>
            <a:t>sup</a:t>
          </a:r>
        </a:p>
      </xdr:txBody>
    </xdr:sp>
    <xdr:clientData/>
  </xdr:twoCellAnchor>
  <xdr:twoCellAnchor>
    <xdr:from>
      <xdr:col>29</xdr:col>
      <xdr:colOff>0</xdr:colOff>
      <xdr:row>13</xdr:row>
      <xdr:rowOff>0</xdr:rowOff>
    </xdr:from>
    <xdr:to>
      <xdr:col>29</xdr:col>
      <xdr:colOff>581025</xdr:colOff>
      <xdr:row>14</xdr:row>
      <xdr:rowOff>19050</xdr:rowOff>
    </xdr:to>
    <xdr:sp macro="[0]!SUPP3" textlink="">
      <xdr:nvSpPr>
        <xdr:cNvPr id="14" name="Rectangle à coins arrondis 13"/>
        <xdr:cNvSpPr/>
      </xdr:nvSpPr>
      <xdr:spPr>
        <a:xfrm>
          <a:off x="9267825" y="2638425"/>
          <a:ext cx="581025" cy="219075"/>
        </a:xfrm>
        <a:prstGeom prst="roundRect">
          <a:avLst/>
        </a:prstGeom>
        <a:ln>
          <a:solidFill>
            <a:schemeClr val="tx2">
              <a:lumMod val="75000"/>
            </a:schemeClr>
          </a:solidFill>
        </a:ln>
      </xdr:spPr>
      <xdr:style>
        <a:lnRef idx="2">
          <a:schemeClr val="accent4">
            <a:shade val="50000"/>
          </a:schemeClr>
        </a:lnRef>
        <a:fillRef idx="1003">
          <a:schemeClr val="dk2"/>
        </a:fillRef>
        <a:effectRef idx="0">
          <a:schemeClr val="accent4"/>
        </a:effectRef>
        <a:fontRef idx="minor">
          <a:schemeClr val="lt1"/>
        </a:fontRef>
      </xdr:style>
      <xdr:txBody>
        <a:bodyPr vertOverflow="clip" rtlCol="0" anchor="ctr"/>
        <a:lstStyle/>
        <a:p>
          <a:pPr algn="ctr"/>
          <a:r>
            <a:rPr lang="fr-FR" sz="1100"/>
            <a:t>sup</a:t>
          </a:r>
        </a:p>
      </xdr:txBody>
    </xdr:sp>
    <xdr:clientData/>
  </xdr:twoCellAnchor>
  <xdr:twoCellAnchor>
    <xdr:from>
      <xdr:col>29</xdr:col>
      <xdr:colOff>0</xdr:colOff>
      <xdr:row>10</xdr:row>
      <xdr:rowOff>0</xdr:rowOff>
    </xdr:from>
    <xdr:to>
      <xdr:col>29</xdr:col>
      <xdr:colOff>581025</xdr:colOff>
      <xdr:row>11</xdr:row>
      <xdr:rowOff>19050</xdr:rowOff>
    </xdr:to>
    <xdr:sp macro="[0]!SUPP2" textlink="">
      <xdr:nvSpPr>
        <xdr:cNvPr id="15" name="Rectangle à coins arrondis 14"/>
        <xdr:cNvSpPr/>
      </xdr:nvSpPr>
      <xdr:spPr>
        <a:xfrm>
          <a:off x="9267825" y="2047875"/>
          <a:ext cx="581025" cy="219075"/>
        </a:xfrm>
        <a:prstGeom prst="roundRect">
          <a:avLst/>
        </a:prstGeom>
        <a:ln>
          <a:solidFill>
            <a:schemeClr val="tx2">
              <a:lumMod val="75000"/>
            </a:schemeClr>
          </a:solidFill>
        </a:ln>
      </xdr:spPr>
      <xdr:style>
        <a:lnRef idx="2">
          <a:schemeClr val="accent4">
            <a:shade val="50000"/>
          </a:schemeClr>
        </a:lnRef>
        <a:fillRef idx="1003">
          <a:schemeClr val="dk2"/>
        </a:fillRef>
        <a:effectRef idx="0">
          <a:schemeClr val="accent4"/>
        </a:effectRef>
        <a:fontRef idx="minor">
          <a:schemeClr val="lt1"/>
        </a:fontRef>
      </xdr:style>
      <xdr:txBody>
        <a:bodyPr vertOverflow="clip" rtlCol="0" anchor="ctr"/>
        <a:lstStyle/>
        <a:p>
          <a:pPr algn="ctr"/>
          <a:r>
            <a:rPr lang="fr-FR" sz="1100"/>
            <a:t>sup</a:t>
          </a:r>
        </a:p>
      </xdr:txBody>
    </xdr:sp>
    <xdr:clientData/>
  </xdr:twoCellAnchor>
  <xdr:twoCellAnchor>
    <xdr:from>
      <xdr:col>29</xdr:col>
      <xdr:colOff>0</xdr:colOff>
      <xdr:row>7</xdr:row>
      <xdr:rowOff>0</xdr:rowOff>
    </xdr:from>
    <xdr:to>
      <xdr:col>29</xdr:col>
      <xdr:colOff>581025</xdr:colOff>
      <xdr:row>8</xdr:row>
      <xdr:rowOff>19050</xdr:rowOff>
    </xdr:to>
    <xdr:sp macro="[0]!SUPP1" textlink="">
      <xdr:nvSpPr>
        <xdr:cNvPr id="16" name="Rectangle à coins arrondis 15"/>
        <xdr:cNvSpPr/>
      </xdr:nvSpPr>
      <xdr:spPr>
        <a:xfrm>
          <a:off x="9267825" y="1457325"/>
          <a:ext cx="581025" cy="219075"/>
        </a:xfrm>
        <a:prstGeom prst="roundRect">
          <a:avLst/>
        </a:prstGeom>
        <a:ln>
          <a:solidFill>
            <a:schemeClr val="tx2">
              <a:lumMod val="75000"/>
            </a:schemeClr>
          </a:solidFill>
        </a:ln>
      </xdr:spPr>
      <xdr:style>
        <a:lnRef idx="2">
          <a:schemeClr val="accent4">
            <a:shade val="50000"/>
          </a:schemeClr>
        </a:lnRef>
        <a:fillRef idx="1003">
          <a:schemeClr val="dk2"/>
        </a:fillRef>
        <a:effectRef idx="0">
          <a:schemeClr val="accent4"/>
        </a:effectRef>
        <a:fontRef idx="minor">
          <a:schemeClr val="lt1"/>
        </a:fontRef>
      </xdr:style>
      <xdr:txBody>
        <a:bodyPr vertOverflow="clip" rtlCol="0" anchor="ctr"/>
        <a:lstStyle/>
        <a:p>
          <a:pPr algn="ctr"/>
          <a:r>
            <a:rPr lang="fr-FR" sz="1100"/>
            <a:t>sup</a:t>
          </a:r>
        </a:p>
      </xdr:txBody>
    </xdr:sp>
    <xdr:clientData/>
  </xdr:twoCellAnchor>
  <xdr:twoCellAnchor>
    <xdr:from>
      <xdr:col>29</xdr:col>
      <xdr:colOff>0</xdr:colOff>
      <xdr:row>25</xdr:row>
      <xdr:rowOff>0</xdr:rowOff>
    </xdr:from>
    <xdr:to>
      <xdr:col>29</xdr:col>
      <xdr:colOff>581025</xdr:colOff>
      <xdr:row>26</xdr:row>
      <xdr:rowOff>19050</xdr:rowOff>
    </xdr:to>
    <xdr:sp macro="[0]!SUPP6" textlink="">
      <xdr:nvSpPr>
        <xdr:cNvPr id="17" name="Rectangle à coins arrondis 16"/>
        <xdr:cNvSpPr/>
      </xdr:nvSpPr>
      <xdr:spPr>
        <a:xfrm>
          <a:off x="9267825" y="5000625"/>
          <a:ext cx="581025" cy="219075"/>
        </a:xfrm>
        <a:prstGeom prst="roundRect">
          <a:avLst/>
        </a:prstGeom>
        <a:ln>
          <a:solidFill>
            <a:schemeClr val="tx2">
              <a:lumMod val="75000"/>
            </a:schemeClr>
          </a:solidFill>
        </a:ln>
      </xdr:spPr>
      <xdr:style>
        <a:lnRef idx="2">
          <a:schemeClr val="accent4">
            <a:shade val="50000"/>
          </a:schemeClr>
        </a:lnRef>
        <a:fillRef idx="1003">
          <a:schemeClr val="dk2"/>
        </a:fillRef>
        <a:effectRef idx="0">
          <a:schemeClr val="accent4"/>
        </a:effectRef>
        <a:fontRef idx="minor">
          <a:schemeClr val="lt1"/>
        </a:fontRef>
      </xdr:style>
      <xdr:txBody>
        <a:bodyPr vertOverflow="clip" rtlCol="0" anchor="ctr"/>
        <a:lstStyle/>
        <a:p>
          <a:pPr algn="ctr"/>
          <a:r>
            <a:rPr lang="fr-FR" sz="1100"/>
            <a:t>sup</a:t>
          </a:r>
        </a:p>
      </xdr:txBody>
    </xdr:sp>
    <xdr:clientData/>
  </xdr:twoCellAnchor>
  <xdr:twoCellAnchor>
    <xdr:from>
      <xdr:col>29</xdr:col>
      <xdr:colOff>0</xdr:colOff>
      <xdr:row>30</xdr:row>
      <xdr:rowOff>0</xdr:rowOff>
    </xdr:from>
    <xdr:to>
      <xdr:col>29</xdr:col>
      <xdr:colOff>581025</xdr:colOff>
      <xdr:row>31</xdr:row>
      <xdr:rowOff>19050</xdr:rowOff>
    </xdr:to>
    <xdr:sp macro="[0]!SUPP7" textlink="">
      <xdr:nvSpPr>
        <xdr:cNvPr id="18" name="Rectangle à coins arrondis 17"/>
        <xdr:cNvSpPr/>
      </xdr:nvSpPr>
      <xdr:spPr>
        <a:xfrm>
          <a:off x="9267825" y="5981700"/>
          <a:ext cx="581025" cy="219075"/>
        </a:xfrm>
        <a:prstGeom prst="roundRect">
          <a:avLst/>
        </a:prstGeom>
        <a:ln>
          <a:solidFill>
            <a:schemeClr val="tx2">
              <a:lumMod val="75000"/>
            </a:schemeClr>
          </a:solidFill>
        </a:ln>
      </xdr:spPr>
      <xdr:style>
        <a:lnRef idx="2">
          <a:schemeClr val="accent4">
            <a:shade val="50000"/>
          </a:schemeClr>
        </a:lnRef>
        <a:fillRef idx="1003">
          <a:schemeClr val="dk2"/>
        </a:fillRef>
        <a:effectRef idx="0">
          <a:schemeClr val="accent4"/>
        </a:effectRef>
        <a:fontRef idx="minor">
          <a:schemeClr val="lt1"/>
        </a:fontRef>
      </xdr:style>
      <xdr:txBody>
        <a:bodyPr vertOverflow="clip" rtlCol="0" anchor="ctr"/>
        <a:lstStyle/>
        <a:p>
          <a:pPr algn="ctr"/>
          <a:r>
            <a:rPr lang="fr-FR" sz="1100"/>
            <a:t>sup</a:t>
          </a:r>
        </a:p>
      </xdr:txBody>
    </xdr:sp>
    <xdr:clientData/>
  </xdr:twoCellAnchor>
  <xdr:twoCellAnchor>
    <xdr:from>
      <xdr:col>29</xdr:col>
      <xdr:colOff>0</xdr:colOff>
      <xdr:row>33</xdr:row>
      <xdr:rowOff>0</xdr:rowOff>
    </xdr:from>
    <xdr:to>
      <xdr:col>29</xdr:col>
      <xdr:colOff>581025</xdr:colOff>
      <xdr:row>34</xdr:row>
      <xdr:rowOff>19050</xdr:rowOff>
    </xdr:to>
    <xdr:sp macro="[0]!SUPP8" textlink="">
      <xdr:nvSpPr>
        <xdr:cNvPr id="19" name="Rectangle à coins arrondis 18"/>
        <xdr:cNvSpPr/>
      </xdr:nvSpPr>
      <xdr:spPr>
        <a:xfrm>
          <a:off x="9267825" y="6572250"/>
          <a:ext cx="581025" cy="219075"/>
        </a:xfrm>
        <a:prstGeom prst="roundRect">
          <a:avLst/>
        </a:prstGeom>
        <a:ln>
          <a:solidFill>
            <a:schemeClr val="tx2">
              <a:lumMod val="75000"/>
            </a:schemeClr>
          </a:solidFill>
        </a:ln>
      </xdr:spPr>
      <xdr:style>
        <a:lnRef idx="2">
          <a:schemeClr val="accent4">
            <a:shade val="50000"/>
          </a:schemeClr>
        </a:lnRef>
        <a:fillRef idx="1003">
          <a:schemeClr val="dk2"/>
        </a:fillRef>
        <a:effectRef idx="0">
          <a:schemeClr val="accent4"/>
        </a:effectRef>
        <a:fontRef idx="minor">
          <a:schemeClr val="lt1"/>
        </a:fontRef>
      </xdr:style>
      <xdr:txBody>
        <a:bodyPr vertOverflow="clip" rtlCol="0" anchor="ctr"/>
        <a:lstStyle/>
        <a:p>
          <a:pPr algn="ctr"/>
          <a:r>
            <a:rPr lang="fr-FR" sz="1100"/>
            <a:t>sup</a:t>
          </a:r>
        </a:p>
      </xdr:txBody>
    </xdr:sp>
    <xdr:clientData/>
  </xdr:twoCellAnchor>
  <xdr:twoCellAnchor>
    <xdr:from>
      <xdr:col>29</xdr:col>
      <xdr:colOff>0</xdr:colOff>
      <xdr:row>39</xdr:row>
      <xdr:rowOff>0</xdr:rowOff>
    </xdr:from>
    <xdr:to>
      <xdr:col>29</xdr:col>
      <xdr:colOff>581025</xdr:colOff>
      <xdr:row>40</xdr:row>
      <xdr:rowOff>28575</xdr:rowOff>
    </xdr:to>
    <xdr:sp macro="[0]!SUPP9" textlink="">
      <xdr:nvSpPr>
        <xdr:cNvPr id="20" name="Rectangle à coins arrondis 19"/>
        <xdr:cNvSpPr/>
      </xdr:nvSpPr>
      <xdr:spPr>
        <a:xfrm>
          <a:off x="9267825" y="7734300"/>
          <a:ext cx="581025" cy="219075"/>
        </a:xfrm>
        <a:prstGeom prst="roundRect">
          <a:avLst/>
        </a:prstGeom>
        <a:ln>
          <a:solidFill>
            <a:schemeClr val="tx2">
              <a:lumMod val="75000"/>
            </a:schemeClr>
          </a:solidFill>
        </a:ln>
      </xdr:spPr>
      <xdr:style>
        <a:lnRef idx="2">
          <a:schemeClr val="accent4">
            <a:shade val="50000"/>
          </a:schemeClr>
        </a:lnRef>
        <a:fillRef idx="1003">
          <a:schemeClr val="dk2"/>
        </a:fillRef>
        <a:effectRef idx="0">
          <a:schemeClr val="accent4"/>
        </a:effectRef>
        <a:fontRef idx="minor">
          <a:schemeClr val="lt1"/>
        </a:fontRef>
      </xdr:style>
      <xdr:txBody>
        <a:bodyPr vertOverflow="clip" rtlCol="0" anchor="ctr"/>
        <a:lstStyle/>
        <a:p>
          <a:pPr algn="ctr"/>
          <a:r>
            <a:rPr lang="fr-FR" sz="1100"/>
            <a:t>sup</a:t>
          </a:r>
        </a:p>
      </xdr:txBody>
    </xdr:sp>
    <xdr:clientData/>
  </xdr:twoCellAnchor>
  <xdr:twoCellAnchor>
    <xdr:from>
      <xdr:col>1</xdr:col>
      <xdr:colOff>704850</xdr:colOff>
      <xdr:row>46</xdr:row>
      <xdr:rowOff>87631</xdr:rowOff>
    </xdr:from>
    <xdr:to>
      <xdr:col>4</xdr:col>
      <xdr:colOff>285750</xdr:colOff>
      <xdr:row>46</xdr:row>
      <xdr:rowOff>133350</xdr:rowOff>
    </xdr:to>
    <xdr:sp macro="[0]!addition1" textlink="">
      <xdr:nvSpPr>
        <xdr:cNvPr id="21" name="Rectangle 20"/>
        <xdr:cNvSpPr/>
      </xdr:nvSpPr>
      <xdr:spPr>
        <a:xfrm>
          <a:off x="1038225" y="9164956"/>
          <a:ext cx="971550" cy="457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8</xdr:col>
      <xdr:colOff>123825</xdr:colOff>
      <xdr:row>46</xdr:row>
      <xdr:rowOff>66675</xdr:rowOff>
    </xdr:from>
    <xdr:to>
      <xdr:col>8</xdr:col>
      <xdr:colOff>209550</xdr:colOff>
      <xdr:row>46</xdr:row>
      <xdr:rowOff>142875</xdr:rowOff>
    </xdr:to>
    <xdr:sp macro="[0]!addition2" textlink="">
      <xdr:nvSpPr>
        <xdr:cNvPr id="22" name="Rectangle 21"/>
        <xdr:cNvSpPr/>
      </xdr:nvSpPr>
      <xdr:spPr>
        <a:xfrm>
          <a:off x="3105150" y="9144000"/>
          <a:ext cx="85725" cy="762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14</xdr:col>
      <xdr:colOff>114300</xdr:colOff>
      <xdr:row>46</xdr:row>
      <xdr:rowOff>66262</xdr:rowOff>
    </xdr:from>
    <xdr:to>
      <xdr:col>14</xdr:col>
      <xdr:colOff>200025</xdr:colOff>
      <xdr:row>46</xdr:row>
      <xdr:rowOff>135836</xdr:rowOff>
    </xdr:to>
    <xdr:sp macro="[0]!addition4" textlink="">
      <xdr:nvSpPr>
        <xdr:cNvPr id="24" name="Rectangle 23"/>
        <xdr:cNvSpPr/>
      </xdr:nvSpPr>
      <xdr:spPr>
        <a:xfrm>
          <a:off x="4981575" y="9143587"/>
          <a:ext cx="85725" cy="6957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20</xdr:col>
      <xdr:colOff>123825</xdr:colOff>
      <xdr:row>46</xdr:row>
      <xdr:rowOff>75788</xdr:rowOff>
    </xdr:from>
    <xdr:to>
      <xdr:col>20</xdr:col>
      <xdr:colOff>209550</xdr:colOff>
      <xdr:row>46</xdr:row>
      <xdr:rowOff>145362</xdr:rowOff>
    </xdr:to>
    <xdr:sp macro="[0]!addition6" textlink="">
      <xdr:nvSpPr>
        <xdr:cNvPr id="26" name="Rectangle 25"/>
        <xdr:cNvSpPr/>
      </xdr:nvSpPr>
      <xdr:spPr>
        <a:xfrm>
          <a:off x="6877050" y="9153113"/>
          <a:ext cx="85725" cy="6957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11</xdr:col>
      <xdr:colOff>104775</xdr:colOff>
      <xdr:row>46</xdr:row>
      <xdr:rowOff>66262</xdr:rowOff>
    </xdr:from>
    <xdr:to>
      <xdr:col>11</xdr:col>
      <xdr:colOff>190500</xdr:colOff>
      <xdr:row>46</xdr:row>
      <xdr:rowOff>135836</xdr:rowOff>
    </xdr:to>
    <xdr:sp macro="[0]!addition3" textlink="">
      <xdr:nvSpPr>
        <xdr:cNvPr id="28" name="Rectangle 27"/>
        <xdr:cNvSpPr/>
      </xdr:nvSpPr>
      <xdr:spPr>
        <a:xfrm>
          <a:off x="4029075" y="9143587"/>
          <a:ext cx="85725" cy="6957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17</xdr:col>
      <xdr:colOff>95250</xdr:colOff>
      <xdr:row>46</xdr:row>
      <xdr:rowOff>75787</xdr:rowOff>
    </xdr:from>
    <xdr:to>
      <xdr:col>17</xdr:col>
      <xdr:colOff>180975</xdr:colOff>
      <xdr:row>46</xdr:row>
      <xdr:rowOff>145361</xdr:rowOff>
    </xdr:to>
    <xdr:sp macro="[0]!addition5" textlink="">
      <xdr:nvSpPr>
        <xdr:cNvPr id="29" name="Rectangle 28"/>
        <xdr:cNvSpPr/>
      </xdr:nvSpPr>
      <xdr:spPr>
        <a:xfrm>
          <a:off x="5905500" y="9153112"/>
          <a:ext cx="85725" cy="6957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23</xdr:col>
      <xdr:colOff>95250</xdr:colOff>
      <xdr:row>46</xdr:row>
      <xdr:rowOff>75788</xdr:rowOff>
    </xdr:from>
    <xdr:to>
      <xdr:col>23</xdr:col>
      <xdr:colOff>180975</xdr:colOff>
      <xdr:row>46</xdr:row>
      <xdr:rowOff>145362</xdr:rowOff>
    </xdr:to>
    <xdr:sp macro="[0]!addition7" textlink="">
      <xdr:nvSpPr>
        <xdr:cNvPr id="30" name="Rectangle 29"/>
        <xdr:cNvSpPr/>
      </xdr:nvSpPr>
      <xdr:spPr>
        <a:xfrm>
          <a:off x="7791450" y="9153113"/>
          <a:ext cx="85725" cy="6957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26</xdr:col>
      <xdr:colOff>114300</xdr:colOff>
      <xdr:row>46</xdr:row>
      <xdr:rowOff>75788</xdr:rowOff>
    </xdr:from>
    <xdr:to>
      <xdr:col>26</xdr:col>
      <xdr:colOff>200025</xdr:colOff>
      <xdr:row>46</xdr:row>
      <xdr:rowOff>145362</xdr:rowOff>
    </xdr:to>
    <xdr:sp macro="[0]!addition8" textlink="">
      <xdr:nvSpPr>
        <xdr:cNvPr id="31" name="Rectangle 30"/>
        <xdr:cNvSpPr/>
      </xdr:nvSpPr>
      <xdr:spPr>
        <a:xfrm>
          <a:off x="8753475" y="9153113"/>
          <a:ext cx="85725" cy="6957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29</xdr:col>
      <xdr:colOff>238125</xdr:colOff>
      <xdr:row>47</xdr:row>
      <xdr:rowOff>76200</xdr:rowOff>
    </xdr:from>
    <xdr:to>
      <xdr:col>29</xdr:col>
      <xdr:colOff>371475</xdr:colOff>
      <xdr:row>47</xdr:row>
      <xdr:rowOff>152400</xdr:rowOff>
    </xdr:to>
    <xdr:sp macro="[0]!Feuil16.addition1" textlink="">
      <xdr:nvSpPr>
        <xdr:cNvPr id="33" name="Rectangle 32"/>
        <xdr:cNvSpPr/>
      </xdr:nvSpPr>
      <xdr:spPr>
        <a:xfrm>
          <a:off x="9810750" y="9353550"/>
          <a:ext cx="133350" cy="762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29</xdr:col>
      <xdr:colOff>9525</xdr:colOff>
      <xdr:row>45</xdr:row>
      <xdr:rowOff>38100</xdr:rowOff>
    </xdr:from>
    <xdr:to>
      <xdr:col>30</xdr:col>
      <xdr:colOff>0</xdr:colOff>
      <xdr:row>46</xdr:row>
      <xdr:rowOff>85725</xdr:rowOff>
    </xdr:to>
    <xdr:sp macro="[0]!additionsup" textlink="">
      <xdr:nvSpPr>
        <xdr:cNvPr id="35" name="Rectangle à coins arrondis 34"/>
        <xdr:cNvSpPr/>
      </xdr:nvSpPr>
      <xdr:spPr>
        <a:xfrm>
          <a:off x="9582150" y="8924925"/>
          <a:ext cx="571500" cy="238125"/>
        </a:xfrm>
        <a:prstGeom prst="roundRect">
          <a:avLst/>
        </a:prstGeom>
        <a:ln>
          <a:solidFill>
            <a:schemeClr val="tx2">
              <a:lumMod val="75000"/>
            </a:schemeClr>
          </a:solidFill>
        </a:ln>
      </xdr:spPr>
      <xdr:style>
        <a:lnRef idx="2">
          <a:schemeClr val="accent4">
            <a:shade val="50000"/>
          </a:schemeClr>
        </a:lnRef>
        <a:fillRef idx="1003">
          <a:schemeClr val="dk2"/>
        </a:fillRef>
        <a:effectRef idx="0">
          <a:schemeClr val="accent4"/>
        </a:effectRef>
        <a:fontRef idx="minor">
          <a:schemeClr val="lt1"/>
        </a:fontRef>
      </xdr:style>
      <xdr:txBody>
        <a:bodyPr vertOverflow="clip" rtlCol="0" anchor="ctr"/>
        <a:lstStyle/>
        <a:p>
          <a:pPr algn="ctr"/>
          <a:r>
            <a:rPr lang="fr-FR" sz="1100"/>
            <a:t>sup</a:t>
          </a:r>
        </a:p>
      </xdr:txBody>
    </xdr:sp>
    <xdr:clientData/>
  </xdr:twoCellAnchor>
  <xdr:twoCellAnchor>
    <xdr:from>
      <xdr:col>19</xdr:col>
      <xdr:colOff>257175</xdr:colOff>
      <xdr:row>49</xdr:row>
      <xdr:rowOff>78106</xdr:rowOff>
    </xdr:from>
    <xdr:to>
      <xdr:col>22</xdr:col>
      <xdr:colOff>123825</xdr:colOff>
      <xdr:row>49</xdr:row>
      <xdr:rowOff>123825</xdr:rowOff>
    </xdr:to>
    <xdr:sp macro="[0]!additionvuetotale" textlink="">
      <xdr:nvSpPr>
        <xdr:cNvPr id="36" name="Rectangle à coins arrondis 35"/>
        <xdr:cNvSpPr/>
      </xdr:nvSpPr>
      <xdr:spPr>
        <a:xfrm>
          <a:off x="6696075" y="9736456"/>
          <a:ext cx="809625" cy="45719"/>
        </a:xfrm>
        <a:prstGeom prst="roundRect">
          <a:avLst>
            <a:gd name="adj" fmla="val 16667"/>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29</xdr:col>
      <xdr:colOff>47625</xdr:colOff>
      <xdr:row>0</xdr:row>
      <xdr:rowOff>9525</xdr:rowOff>
    </xdr:from>
    <xdr:to>
      <xdr:col>29</xdr:col>
      <xdr:colOff>533398</xdr:colOff>
      <xdr:row>1</xdr:row>
      <xdr:rowOff>0</xdr:rowOff>
    </xdr:to>
    <xdr:sp macro="[0]!RETOURLogique" textlink="">
      <xdr:nvSpPr>
        <xdr:cNvPr id="32" name="Flèche droite rayée 31"/>
        <xdr:cNvSpPr/>
      </xdr:nvSpPr>
      <xdr:spPr>
        <a:xfrm>
          <a:off x="9620250" y="9525"/>
          <a:ext cx="485773" cy="514350"/>
        </a:xfrm>
        <a:prstGeom prst="stripedRightArrow">
          <a:avLst/>
        </a:prstGeom>
        <a:ln/>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0</xdr:col>
      <xdr:colOff>209550</xdr:colOff>
      <xdr:row>0</xdr:row>
      <xdr:rowOff>142875</xdr:rowOff>
    </xdr:from>
    <xdr:to>
      <xdr:col>1</xdr:col>
      <xdr:colOff>363220</xdr:colOff>
      <xdr:row>0</xdr:row>
      <xdr:rowOff>315624</xdr:rowOff>
    </xdr:to>
    <xdr:sp macro="" textlink="">
      <xdr:nvSpPr>
        <xdr:cNvPr id="27" name="Rectangle à coins arrondis 26"/>
        <xdr:cNvSpPr/>
      </xdr:nvSpPr>
      <xdr:spPr>
        <a:xfrm>
          <a:off x="209550" y="142875"/>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3171825</xdr:colOff>
      <xdr:row>3</xdr:row>
      <xdr:rowOff>95250</xdr:rowOff>
    </xdr:from>
    <xdr:to>
      <xdr:col>1</xdr:col>
      <xdr:colOff>3743325</xdr:colOff>
      <xdr:row>4</xdr:row>
      <xdr:rowOff>114300</xdr:rowOff>
    </xdr:to>
    <xdr:sp macro="" textlink="">
      <xdr:nvSpPr>
        <xdr:cNvPr id="3" name="Rectangle à coins arrondis 2"/>
        <xdr:cNvSpPr/>
      </xdr:nvSpPr>
      <xdr:spPr>
        <a:xfrm>
          <a:off x="3524250" y="800100"/>
          <a:ext cx="571500" cy="209550"/>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ln>
                <a:solidFill>
                  <a:srgbClr val="008000"/>
                </a:solidFill>
              </a:ln>
              <a:solidFill>
                <a:srgbClr val="008000"/>
              </a:solidFill>
            </a:rPr>
            <a:t>Bonus</a:t>
          </a:r>
        </a:p>
      </xdr:txBody>
    </xdr:sp>
    <xdr:clientData/>
  </xdr:twoCellAnchor>
  <xdr:twoCellAnchor>
    <xdr:from>
      <xdr:col>1</xdr:col>
      <xdr:colOff>5934075</xdr:colOff>
      <xdr:row>0</xdr:row>
      <xdr:rowOff>95250</xdr:rowOff>
    </xdr:from>
    <xdr:to>
      <xdr:col>1</xdr:col>
      <xdr:colOff>6419848</xdr:colOff>
      <xdr:row>2</xdr:row>
      <xdr:rowOff>95250</xdr:rowOff>
    </xdr:to>
    <xdr:sp macro="[0]!FERMACM" textlink="">
      <xdr:nvSpPr>
        <xdr:cNvPr id="4" name="Flèche droite rayée 3"/>
        <xdr:cNvSpPr/>
      </xdr:nvSpPr>
      <xdr:spPr>
        <a:xfrm>
          <a:off x="6286500" y="95250"/>
          <a:ext cx="485773" cy="514350"/>
        </a:xfrm>
        <a:prstGeom prst="stripedRightArrow">
          <a:avLst/>
        </a:prstGeom>
        <a:solidFill>
          <a:srgbClr val="008000"/>
        </a:solidFill>
        <a:ln>
          <a:solidFill>
            <a:schemeClr val="tx2">
              <a:lumMod val="75000"/>
            </a:schemeClr>
          </a:solidFill>
        </a:ln>
      </xdr:spPr>
      <xdr:style>
        <a:lnRef idx="1">
          <a:schemeClr val="accent5"/>
        </a:lnRef>
        <a:fillRef idx="1003">
          <a:schemeClr val="dk2"/>
        </a:fillRef>
        <a:effectRef idx="2">
          <a:schemeClr val="accent5"/>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0</xdr:col>
      <xdr:colOff>113110</xdr:colOff>
      <xdr:row>3</xdr:row>
      <xdr:rowOff>142875</xdr:rowOff>
    </xdr:from>
    <xdr:to>
      <xdr:col>0</xdr:col>
      <xdr:colOff>222648</xdr:colOff>
      <xdr:row>4</xdr:row>
      <xdr:rowOff>52387</xdr:rowOff>
    </xdr:to>
    <xdr:sp macro="[0]!DELX2" textlink="">
      <xdr:nvSpPr>
        <xdr:cNvPr id="5" name="Ellipse 4"/>
        <xdr:cNvSpPr/>
      </xdr:nvSpPr>
      <xdr:spPr>
        <a:xfrm>
          <a:off x="113110" y="845344"/>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113109</xdr:colOff>
      <xdr:row>5</xdr:row>
      <xdr:rowOff>148828</xdr:rowOff>
    </xdr:from>
    <xdr:to>
      <xdr:col>0</xdr:col>
      <xdr:colOff>222647</xdr:colOff>
      <xdr:row>6</xdr:row>
      <xdr:rowOff>58340</xdr:rowOff>
    </xdr:to>
    <xdr:sp macro="[0]!DELX3" textlink="">
      <xdr:nvSpPr>
        <xdr:cNvPr id="6" name="Ellipse 5"/>
        <xdr:cNvSpPr/>
      </xdr:nvSpPr>
      <xdr:spPr>
        <a:xfrm>
          <a:off x="113109" y="1232297"/>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66675</xdr:colOff>
      <xdr:row>3</xdr:row>
      <xdr:rowOff>133350</xdr:rowOff>
    </xdr:from>
    <xdr:to>
      <xdr:col>1</xdr:col>
      <xdr:colOff>3124200</xdr:colOff>
      <xdr:row>4</xdr:row>
      <xdr:rowOff>85725</xdr:rowOff>
    </xdr:to>
    <xdr:sp macro="[0]!OUVX2" textlink="">
      <xdr:nvSpPr>
        <xdr:cNvPr id="7" name="Rectangle 6"/>
        <xdr:cNvSpPr/>
      </xdr:nvSpPr>
      <xdr:spPr>
        <a:xfrm>
          <a:off x="419100" y="838200"/>
          <a:ext cx="3057525" cy="142875"/>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1</xdr:col>
      <xdr:colOff>38100</xdr:colOff>
      <xdr:row>5</xdr:row>
      <xdr:rowOff>123825</xdr:rowOff>
    </xdr:from>
    <xdr:to>
      <xdr:col>1</xdr:col>
      <xdr:colOff>6153150</xdr:colOff>
      <xdr:row>6</xdr:row>
      <xdr:rowOff>95250</xdr:rowOff>
    </xdr:to>
    <xdr:sp macro="[0]!OUVX3" textlink="">
      <xdr:nvSpPr>
        <xdr:cNvPr id="8" name="Rectangle 7"/>
        <xdr:cNvSpPr/>
      </xdr:nvSpPr>
      <xdr:spPr>
        <a:xfrm>
          <a:off x="390525" y="1219200"/>
          <a:ext cx="6115050" cy="161925"/>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685801</xdr:colOff>
      <xdr:row>0</xdr:row>
      <xdr:rowOff>0</xdr:rowOff>
    </xdr:from>
    <xdr:to>
      <xdr:col>4</xdr:col>
      <xdr:colOff>1219199</xdr:colOff>
      <xdr:row>0</xdr:row>
      <xdr:rowOff>428624</xdr:rowOff>
    </xdr:to>
    <xdr:sp macro="[0]!FERMX2" textlink="">
      <xdr:nvSpPr>
        <xdr:cNvPr id="6" name="Flèche droite rayée 5"/>
        <xdr:cNvSpPr/>
      </xdr:nvSpPr>
      <xdr:spPr>
        <a:xfrm>
          <a:off x="7134226" y="0"/>
          <a:ext cx="533398" cy="428624"/>
        </a:xfrm>
        <a:prstGeom prst="stripedRightArrow">
          <a:avLst/>
        </a:prstGeom>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0</xdr:col>
      <xdr:colOff>9526</xdr:colOff>
      <xdr:row>4</xdr:row>
      <xdr:rowOff>9525</xdr:rowOff>
    </xdr:from>
    <xdr:to>
      <xdr:col>4</xdr:col>
      <xdr:colOff>1238249</xdr:colOff>
      <xdr:row>5</xdr:row>
      <xdr:rowOff>0</xdr:rowOff>
    </xdr:to>
    <xdr:sp macro="[0]!VersTable11_PageX²" textlink="">
      <xdr:nvSpPr>
        <xdr:cNvPr id="3" name="Rectangle 2"/>
        <xdr:cNvSpPr/>
      </xdr:nvSpPr>
      <xdr:spPr>
        <a:xfrm>
          <a:off x="9526" y="1485900"/>
          <a:ext cx="7677148" cy="15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0</xdr:colOff>
      <xdr:row>5</xdr:row>
      <xdr:rowOff>19050</xdr:rowOff>
    </xdr:from>
    <xdr:to>
      <xdr:col>4</xdr:col>
      <xdr:colOff>1228724</xdr:colOff>
      <xdr:row>5</xdr:row>
      <xdr:rowOff>171450</xdr:rowOff>
    </xdr:to>
    <xdr:sp macro="[0]!VersTable9_PageX²" textlink="">
      <xdr:nvSpPr>
        <xdr:cNvPr id="5" name="Rectangle 4"/>
        <xdr:cNvSpPr/>
      </xdr:nvSpPr>
      <xdr:spPr>
        <a:xfrm>
          <a:off x="0" y="1657350"/>
          <a:ext cx="7677149" cy="152400"/>
        </a:xfrm>
        <a:prstGeom prst="rect">
          <a:avLst/>
        </a:prstGeom>
        <a:noFill/>
        <a:ln>
          <a:noFill/>
        </a:ln>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endParaRPr lang="fr-FR"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66675</xdr:colOff>
      <xdr:row>5</xdr:row>
      <xdr:rowOff>104775</xdr:rowOff>
    </xdr:from>
    <xdr:to>
      <xdr:col>1</xdr:col>
      <xdr:colOff>66675</xdr:colOff>
      <xdr:row>15</xdr:row>
      <xdr:rowOff>57150</xdr:rowOff>
    </xdr:to>
    <xdr:cxnSp macro="">
      <xdr:nvCxnSpPr>
        <xdr:cNvPr id="2" name="Connecteur droit avec flèche 1"/>
        <xdr:cNvCxnSpPr/>
      </xdr:nvCxnSpPr>
      <xdr:spPr>
        <a:xfrm>
          <a:off x="828675" y="866775"/>
          <a:ext cx="0" cy="1857375"/>
        </a:xfrm>
        <a:prstGeom prst="straightConnector1">
          <a:avLst/>
        </a:prstGeom>
        <a:ln>
          <a:tailEnd type="arrow"/>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1</xdr:col>
      <xdr:colOff>276225</xdr:colOff>
      <xdr:row>15</xdr:row>
      <xdr:rowOff>76200</xdr:rowOff>
    </xdr:from>
    <xdr:to>
      <xdr:col>2</xdr:col>
      <xdr:colOff>495300</xdr:colOff>
      <xdr:row>15</xdr:row>
      <xdr:rowOff>76201</xdr:rowOff>
    </xdr:to>
    <xdr:cxnSp macro="">
      <xdr:nvCxnSpPr>
        <xdr:cNvPr id="3" name="Connecteur droit 2"/>
        <xdr:cNvCxnSpPr/>
      </xdr:nvCxnSpPr>
      <xdr:spPr>
        <a:xfrm flipV="1">
          <a:off x="1038225" y="2743200"/>
          <a:ext cx="981075" cy="1"/>
        </a:xfrm>
        <a:prstGeom prst="line">
          <a:avLst/>
        </a:prstGeom>
      </xdr:spPr>
      <xdr:style>
        <a:lnRef idx="3">
          <a:schemeClr val="accent1"/>
        </a:lnRef>
        <a:fillRef idx="0">
          <a:schemeClr val="accent1"/>
        </a:fillRef>
        <a:effectRef idx="2">
          <a:schemeClr val="accent1"/>
        </a:effectRef>
        <a:fontRef idx="minor">
          <a:schemeClr val="tx1"/>
        </a:fontRef>
      </xdr:style>
    </xdr:cxnSp>
    <xdr:clientData/>
  </xdr:twoCellAnchor>
  <xdr:twoCellAnchor>
    <xdr:from>
      <xdr:col>2</xdr:col>
      <xdr:colOff>485775</xdr:colOff>
      <xdr:row>5</xdr:row>
      <xdr:rowOff>123825</xdr:rowOff>
    </xdr:from>
    <xdr:to>
      <xdr:col>3</xdr:col>
      <xdr:colOff>0</xdr:colOff>
      <xdr:row>15</xdr:row>
      <xdr:rowOff>95250</xdr:rowOff>
    </xdr:to>
    <xdr:cxnSp macro="">
      <xdr:nvCxnSpPr>
        <xdr:cNvPr id="4" name="Connecteur droit avec flèche 3"/>
        <xdr:cNvCxnSpPr/>
      </xdr:nvCxnSpPr>
      <xdr:spPr>
        <a:xfrm flipH="1" flipV="1">
          <a:off x="2009775" y="885825"/>
          <a:ext cx="276225" cy="1876425"/>
        </a:xfrm>
        <a:prstGeom prst="straightConnector1">
          <a:avLst/>
        </a:prstGeom>
        <a:ln>
          <a:tailEnd type="arrow"/>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0</xdr:col>
      <xdr:colOff>76200</xdr:colOff>
      <xdr:row>0</xdr:row>
      <xdr:rowOff>152400</xdr:rowOff>
    </xdr:from>
    <xdr:to>
      <xdr:col>0</xdr:col>
      <xdr:colOff>563245</xdr:colOff>
      <xdr:row>0</xdr:row>
      <xdr:rowOff>325149</xdr:rowOff>
    </xdr:to>
    <xdr:sp macro="" textlink="">
      <xdr:nvSpPr>
        <xdr:cNvPr id="10" name="Rectangle à coins arrondis 9"/>
        <xdr:cNvSpPr/>
      </xdr:nvSpPr>
      <xdr:spPr>
        <a:xfrm>
          <a:off x="76200" y="15240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3</xdr:col>
      <xdr:colOff>323851</xdr:colOff>
      <xdr:row>0</xdr:row>
      <xdr:rowOff>0</xdr:rowOff>
    </xdr:from>
    <xdr:to>
      <xdr:col>3</xdr:col>
      <xdr:colOff>742951</xdr:colOff>
      <xdr:row>0</xdr:row>
      <xdr:rowOff>400050</xdr:rowOff>
    </xdr:to>
    <xdr:sp macro="[0]!RETOURTable9" textlink="">
      <xdr:nvSpPr>
        <xdr:cNvPr id="7" name="Flèche droite rayée 6"/>
        <xdr:cNvSpPr/>
      </xdr:nvSpPr>
      <xdr:spPr>
        <a:xfrm>
          <a:off x="2628901" y="0"/>
          <a:ext cx="419100" cy="400050"/>
        </a:xfrm>
        <a:prstGeom prst="stripedRightArrow">
          <a:avLst/>
        </a:prstGeom>
        <a:ln/>
      </xdr:spPr>
      <xdr:style>
        <a:lnRef idx="0">
          <a:schemeClr val="accent1"/>
        </a:lnRef>
        <a:fillRef idx="1003">
          <a:schemeClr val="lt2"/>
        </a:fillRef>
        <a:effectRef idx="3">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514350</xdr:colOff>
      <xdr:row>8</xdr:row>
      <xdr:rowOff>161925</xdr:rowOff>
    </xdr:from>
    <xdr:to>
      <xdr:col>2</xdr:col>
      <xdr:colOff>238125</xdr:colOff>
      <xdr:row>10</xdr:row>
      <xdr:rowOff>0</xdr:rowOff>
    </xdr:to>
    <xdr:cxnSp macro="">
      <xdr:nvCxnSpPr>
        <xdr:cNvPr id="3" name="Connecteur droit 2"/>
        <xdr:cNvCxnSpPr/>
      </xdr:nvCxnSpPr>
      <xdr:spPr>
        <a:xfrm flipV="1">
          <a:off x="1276350" y="1685925"/>
          <a:ext cx="485775" cy="2190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371475</xdr:colOff>
      <xdr:row>8</xdr:row>
      <xdr:rowOff>180975</xdr:rowOff>
    </xdr:from>
    <xdr:to>
      <xdr:col>2</xdr:col>
      <xdr:colOff>371475</xdr:colOff>
      <xdr:row>9</xdr:row>
      <xdr:rowOff>180975</xdr:rowOff>
    </xdr:to>
    <xdr:cxnSp macro="">
      <xdr:nvCxnSpPr>
        <xdr:cNvPr id="4" name="Connecteur droit 3"/>
        <xdr:cNvCxnSpPr/>
      </xdr:nvCxnSpPr>
      <xdr:spPr>
        <a:xfrm>
          <a:off x="1895475" y="1704975"/>
          <a:ext cx="0" cy="190500"/>
        </a:xfrm>
        <a:prstGeom prst="line">
          <a:avLst/>
        </a:prstGeom>
      </xdr:spPr>
      <xdr:style>
        <a:lnRef idx="1">
          <a:schemeClr val="accent3"/>
        </a:lnRef>
        <a:fillRef idx="0">
          <a:schemeClr val="accent3"/>
        </a:fillRef>
        <a:effectRef idx="0">
          <a:schemeClr val="accent3"/>
        </a:effectRef>
        <a:fontRef idx="minor">
          <a:schemeClr val="tx1"/>
        </a:fontRef>
      </xdr:style>
    </xdr:cxnSp>
    <xdr:clientData/>
  </xdr:twoCellAnchor>
  <xdr:twoCellAnchor>
    <xdr:from>
      <xdr:col>3</xdr:col>
      <xdr:colOff>381000</xdr:colOff>
      <xdr:row>9</xdr:row>
      <xdr:rowOff>0</xdr:rowOff>
    </xdr:from>
    <xdr:to>
      <xdr:col>3</xdr:col>
      <xdr:colOff>381000</xdr:colOff>
      <xdr:row>10</xdr:row>
      <xdr:rowOff>0</xdr:rowOff>
    </xdr:to>
    <xdr:cxnSp macro="">
      <xdr:nvCxnSpPr>
        <xdr:cNvPr id="5" name="Connecteur droit 4"/>
        <xdr:cNvCxnSpPr/>
      </xdr:nvCxnSpPr>
      <xdr:spPr>
        <a:xfrm>
          <a:off x="2667000" y="1714500"/>
          <a:ext cx="0" cy="190500"/>
        </a:xfrm>
        <a:prstGeom prst="line">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4</xdr:col>
      <xdr:colOff>390525</xdr:colOff>
      <xdr:row>9</xdr:row>
      <xdr:rowOff>0</xdr:rowOff>
    </xdr:from>
    <xdr:to>
      <xdr:col>4</xdr:col>
      <xdr:colOff>390525</xdr:colOff>
      <xdr:row>10</xdr:row>
      <xdr:rowOff>0</xdr:rowOff>
    </xdr:to>
    <xdr:cxnSp macro="">
      <xdr:nvCxnSpPr>
        <xdr:cNvPr id="6" name="Connecteur droit 5"/>
        <xdr:cNvCxnSpPr/>
      </xdr:nvCxnSpPr>
      <xdr:spPr>
        <a:xfrm>
          <a:off x="3438525" y="1714500"/>
          <a:ext cx="0" cy="1905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485775</xdr:colOff>
      <xdr:row>8</xdr:row>
      <xdr:rowOff>133350</xdr:rowOff>
    </xdr:from>
    <xdr:to>
      <xdr:col>3</xdr:col>
      <xdr:colOff>209550</xdr:colOff>
      <xdr:row>9</xdr:row>
      <xdr:rowOff>161925</xdr:rowOff>
    </xdr:to>
    <xdr:cxnSp macro="">
      <xdr:nvCxnSpPr>
        <xdr:cNvPr id="7" name="Connecteur droit 6"/>
        <xdr:cNvCxnSpPr/>
      </xdr:nvCxnSpPr>
      <xdr:spPr>
        <a:xfrm flipV="1">
          <a:off x="2009775" y="1657350"/>
          <a:ext cx="485775" cy="219075"/>
        </a:xfrm>
        <a:prstGeom prst="line">
          <a:avLst/>
        </a:prstGeom>
      </xdr:spPr>
      <xdr:style>
        <a:lnRef idx="1">
          <a:schemeClr val="accent3"/>
        </a:lnRef>
        <a:fillRef idx="0">
          <a:schemeClr val="accent3"/>
        </a:fillRef>
        <a:effectRef idx="0">
          <a:schemeClr val="accent3"/>
        </a:effectRef>
        <a:fontRef idx="minor">
          <a:schemeClr val="tx1"/>
        </a:fontRef>
      </xdr:style>
    </xdr:cxnSp>
    <xdr:clientData/>
  </xdr:twoCellAnchor>
  <xdr:twoCellAnchor>
    <xdr:from>
      <xdr:col>3</xdr:col>
      <xdr:colOff>485775</xdr:colOff>
      <xdr:row>8</xdr:row>
      <xdr:rowOff>142875</xdr:rowOff>
    </xdr:from>
    <xdr:to>
      <xdr:col>4</xdr:col>
      <xdr:colOff>209550</xdr:colOff>
      <xdr:row>9</xdr:row>
      <xdr:rowOff>171450</xdr:rowOff>
    </xdr:to>
    <xdr:cxnSp macro="">
      <xdr:nvCxnSpPr>
        <xdr:cNvPr id="8" name="Connecteur droit 7"/>
        <xdr:cNvCxnSpPr/>
      </xdr:nvCxnSpPr>
      <xdr:spPr>
        <a:xfrm flipV="1">
          <a:off x="2771775" y="1666875"/>
          <a:ext cx="485775" cy="219075"/>
        </a:xfrm>
        <a:prstGeom prst="line">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1</xdr:col>
      <xdr:colOff>561975</xdr:colOff>
      <xdr:row>11</xdr:row>
      <xdr:rowOff>104775</xdr:rowOff>
    </xdr:from>
    <xdr:to>
      <xdr:col>2</xdr:col>
      <xdr:colOff>285750</xdr:colOff>
      <xdr:row>12</xdr:row>
      <xdr:rowOff>133350</xdr:rowOff>
    </xdr:to>
    <xdr:cxnSp macro="">
      <xdr:nvCxnSpPr>
        <xdr:cNvPr id="9" name="Connecteur droit 8"/>
        <xdr:cNvCxnSpPr/>
      </xdr:nvCxnSpPr>
      <xdr:spPr>
        <a:xfrm flipV="1">
          <a:off x="1323975" y="2200275"/>
          <a:ext cx="485775" cy="2190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533400</xdr:colOff>
      <xdr:row>11</xdr:row>
      <xdr:rowOff>114300</xdr:rowOff>
    </xdr:from>
    <xdr:to>
      <xdr:col>3</xdr:col>
      <xdr:colOff>257175</xdr:colOff>
      <xdr:row>12</xdr:row>
      <xdr:rowOff>142875</xdr:rowOff>
    </xdr:to>
    <xdr:cxnSp macro="">
      <xdr:nvCxnSpPr>
        <xdr:cNvPr id="10" name="Connecteur droit 9"/>
        <xdr:cNvCxnSpPr/>
      </xdr:nvCxnSpPr>
      <xdr:spPr>
        <a:xfrm flipV="1">
          <a:off x="2057400" y="2209800"/>
          <a:ext cx="485775" cy="219075"/>
        </a:xfrm>
        <a:prstGeom prst="line">
          <a:avLst/>
        </a:prstGeom>
      </xdr:spPr>
      <xdr:style>
        <a:lnRef idx="1">
          <a:schemeClr val="accent3"/>
        </a:lnRef>
        <a:fillRef idx="0">
          <a:schemeClr val="accent3"/>
        </a:fillRef>
        <a:effectRef idx="0">
          <a:schemeClr val="accent3"/>
        </a:effectRef>
        <a:fontRef idx="minor">
          <a:schemeClr val="tx1"/>
        </a:fontRef>
      </xdr:style>
    </xdr:cxnSp>
    <xdr:clientData/>
  </xdr:twoCellAnchor>
  <xdr:twoCellAnchor>
    <xdr:from>
      <xdr:col>3</xdr:col>
      <xdr:colOff>514350</xdr:colOff>
      <xdr:row>11</xdr:row>
      <xdr:rowOff>95250</xdr:rowOff>
    </xdr:from>
    <xdr:to>
      <xdr:col>4</xdr:col>
      <xdr:colOff>238125</xdr:colOff>
      <xdr:row>12</xdr:row>
      <xdr:rowOff>123825</xdr:rowOff>
    </xdr:to>
    <xdr:cxnSp macro="">
      <xdr:nvCxnSpPr>
        <xdr:cNvPr id="11" name="Connecteur droit 10"/>
        <xdr:cNvCxnSpPr/>
      </xdr:nvCxnSpPr>
      <xdr:spPr>
        <a:xfrm flipV="1">
          <a:off x="2800350" y="2190750"/>
          <a:ext cx="485775" cy="219075"/>
        </a:xfrm>
        <a:prstGeom prst="line">
          <a:avLst/>
        </a:prstGeom>
      </xdr:spPr>
      <xdr:style>
        <a:lnRef idx="1">
          <a:schemeClr val="accent6"/>
        </a:lnRef>
        <a:fillRef idx="0">
          <a:schemeClr val="accent6"/>
        </a:fillRef>
        <a:effectRef idx="0">
          <a:schemeClr val="accent6"/>
        </a:effectRef>
        <a:fontRef idx="minor">
          <a:schemeClr val="tx1"/>
        </a:fontRef>
      </xdr:style>
    </xdr:cxnSp>
    <xdr:clientData/>
  </xdr:twoCellAnchor>
  <xdr:twoCellAnchor>
    <xdr:from>
      <xdr:col>1</xdr:col>
      <xdr:colOff>246012</xdr:colOff>
      <xdr:row>13</xdr:row>
      <xdr:rowOff>76887</xdr:rowOff>
    </xdr:from>
    <xdr:to>
      <xdr:col>4</xdr:col>
      <xdr:colOff>498856</xdr:colOff>
      <xdr:row>15</xdr:row>
      <xdr:rowOff>76887</xdr:rowOff>
    </xdr:to>
    <xdr:sp macro="" textlink="">
      <xdr:nvSpPr>
        <xdr:cNvPr id="12" name="Accolade fermante 11"/>
        <xdr:cNvSpPr/>
      </xdr:nvSpPr>
      <xdr:spPr>
        <a:xfrm rot="5400000">
          <a:off x="2086934" y="1474465"/>
          <a:ext cx="381000" cy="2538844"/>
        </a:xfrm>
        <a:prstGeom prst="rightBrace">
          <a:avLst>
            <a:gd name="adj1" fmla="val 38750"/>
            <a:gd name="adj2" fmla="val 50750"/>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1</xdr:col>
      <xdr:colOff>371475</xdr:colOff>
      <xdr:row>9</xdr:row>
      <xdr:rowOff>9525</xdr:rowOff>
    </xdr:from>
    <xdr:to>
      <xdr:col>1</xdr:col>
      <xdr:colOff>371475</xdr:colOff>
      <xdr:row>10</xdr:row>
      <xdr:rowOff>9525</xdr:rowOff>
    </xdr:to>
    <xdr:cxnSp macro="">
      <xdr:nvCxnSpPr>
        <xdr:cNvPr id="13" name="Connecteur droit 12"/>
        <xdr:cNvCxnSpPr/>
      </xdr:nvCxnSpPr>
      <xdr:spPr>
        <a:xfrm>
          <a:off x="1133475" y="1724025"/>
          <a:ext cx="0" cy="1905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5</xdr:row>
      <xdr:rowOff>1901825</xdr:rowOff>
    </xdr:from>
    <xdr:to>
      <xdr:col>5</xdr:col>
      <xdr:colOff>838199</xdr:colOff>
      <xdr:row>17</xdr:row>
      <xdr:rowOff>95249</xdr:rowOff>
    </xdr:to>
    <xdr:sp macro="" textlink="">
      <xdr:nvSpPr>
        <xdr:cNvPr id="18" name="Rectangle 17"/>
        <xdr:cNvSpPr/>
      </xdr:nvSpPr>
      <xdr:spPr>
        <a:xfrm>
          <a:off x="0" y="3683000"/>
          <a:ext cx="7772399" cy="2251074"/>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LocksWithSheet="0"/>
  </xdr:twoCellAnchor>
  <xdr:twoCellAnchor>
    <xdr:from>
      <xdr:col>0</xdr:col>
      <xdr:colOff>161925</xdr:colOff>
      <xdr:row>0</xdr:row>
      <xdr:rowOff>76200</xdr:rowOff>
    </xdr:from>
    <xdr:to>
      <xdr:col>0</xdr:col>
      <xdr:colOff>648970</xdr:colOff>
      <xdr:row>0</xdr:row>
      <xdr:rowOff>248949</xdr:rowOff>
    </xdr:to>
    <xdr:sp macro="" textlink="">
      <xdr:nvSpPr>
        <xdr:cNvPr id="19" name="Rectangle à coins arrondis 18"/>
        <xdr:cNvSpPr/>
      </xdr:nvSpPr>
      <xdr:spPr>
        <a:xfrm>
          <a:off x="161925" y="7620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5</xdr:col>
      <xdr:colOff>400050</xdr:colOff>
      <xdr:row>0</xdr:row>
      <xdr:rowOff>0</xdr:rowOff>
    </xdr:from>
    <xdr:to>
      <xdr:col>5</xdr:col>
      <xdr:colOff>819150</xdr:colOff>
      <xdr:row>1</xdr:row>
      <xdr:rowOff>28575</xdr:rowOff>
    </xdr:to>
    <xdr:sp macro="[0]!RETOURTable11" textlink="">
      <xdr:nvSpPr>
        <xdr:cNvPr id="16" name="Flèche droite rayée 15"/>
        <xdr:cNvSpPr/>
      </xdr:nvSpPr>
      <xdr:spPr>
        <a:xfrm>
          <a:off x="7334250" y="0"/>
          <a:ext cx="419100" cy="400050"/>
        </a:xfrm>
        <a:prstGeom prst="stripedRightArrow">
          <a:avLst/>
        </a:prstGeom>
        <a:ln/>
      </xdr:spPr>
      <xdr:style>
        <a:lnRef idx="0">
          <a:schemeClr val="accent1"/>
        </a:lnRef>
        <a:fillRef idx="1003">
          <a:schemeClr val="lt2"/>
        </a:fillRef>
        <a:effectRef idx="3">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85725</xdr:colOff>
      <xdr:row>18</xdr:row>
      <xdr:rowOff>85725</xdr:rowOff>
    </xdr:from>
    <xdr:to>
      <xdr:col>4</xdr:col>
      <xdr:colOff>180975</xdr:colOff>
      <xdr:row>27</xdr:row>
      <xdr:rowOff>85725</xdr:rowOff>
    </xdr:to>
    <xdr:sp macro="" textlink="">
      <xdr:nvSpPr>
        <xdr:cNvPr id="2" name="Rectangle à coins arrondis 1"/>
        <xdr:cNvSpPr/>
      </xdr:nvSpPr>
      <xdr:spPr>
        <a:xfrm>
          <a:off x="85725" y="3514725"/>
          <a:ext cx="3143250" cy="1714500"/>
        </a:xfrm>
        <a:prstGeom prst="roundRect">
          <a:avLst/>
        </a:prstGeom>
        <a:noFill/>
        <a:ln w="28575"/>
        <a:effectLst>
          <a:glow rad="139700">
            <a:schemeClr val="accent5">
              <a:satMod val="175000"/>
              <a:alpha val="40000"/>
            </a:schemeClr>
          </a:glow>
          <a:outerShdw blurRad="40000" dist="20000" dir="5400000" rotWithShape="0">
            <a:srgbClr val="000000">
              <a:alpha val="38000"/>
            </a:srgbClr>
          </a:outerShdw>
        </a:effectLst>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endParaRPr lang="fr-FR" sz="1100" b="1"/>
        </a:p>
      </xdr:txBody>
    </xdr:sp>
    <xdr:clientData/>
  </xdr:twoCellAnchor>
  <xdr:twoCellAnchor>
    <xdr:from>
      <xdr:col>4</xdr:col>
      <xdr:colOff>219075</xdr:colOff>
      <xdr:row>14</xdr:row>
      <xdr:rowOff>19050</xdr:rowOff>
    </xdr:from>
    <xdr:to>
      <xdr:col>4</xdr:col>
      <xdr:colOff>638175</xdr:colOff>
      <xdr:row>14</xdr:row>
      <xdr:rowOff>180975</xdr:rowOff>
    </xdr:to>
    <xdr:sp macro="" textlink="">
      <xdr:nvSpPr>
        <xdr:cNvPr id="6" name="Flèche droite rayée 5"/>
        <xdr:cNvSpPr/>
      </xdr:nvSpPr>
      <xdr:spPr>
        <a:xfrm>
          <a:off x="2552700" y="3019425"/>
          <a:ext cx="419100" cy="161925"/>
        </a:xfrm>
        <a:prstGeom prst="stripedRightArrow">
          <a:avLst/>
        </a:prstGeom>
        <a:effectLst>
          <a:glow rad="101600">
            <a:schemeClr val="accent2">
              <a:satMod val="175000"/>
              <a:alpha val="40000"/>
            </a:schemeClr>
          </a:glow>
          <a:outerShdw blurRad="40000" dist="23000" dir="5400000" rotWithShape="0">
            <a:srgbClr val="000000">
              <a:alpha val="35000"/>
            </a:srgbClr>
          </a:outerShdw>
        </a:effectLst>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endParaRPr lang="fr-FR" sz="1100">
            <a:effectLst>
              <a:glow rad="63500">
                <a:schemeClr val="accent2">
                  <a:satMod val="175000"/>
                  <a:alpha val="40000"/>
                </a:schemeClr>
              </a:glow>
            </a:effectLst>
          </a:endParaRPr>
        </a:p>
      </xdr:txBody>
    </xdr:sp>
    <xdr:clientData fLocksWithSheet="0"/>
  </xdr:twoCellAnchor>
  <xdr:twoCellAnchor>
    <xdr:from>
      <xdr:col>1</xdr:col>
      <xdr:colOff>304800</xdr:colOff>
      <xdr:row>22</xdr:row>
      <xdr:rowOff>19052</xdr:rowOff>
    </xdr:from>
    <xdr:to>
      <xdr:col>1</xdr:col>
      <xdr:colOff>304801</xdr:colOff>
      <xdr:row>24</xdr:row>
      <xdr:rowOff>133350</xdr:rowOff>
    </xdr:to>
    <xdr:cxnSp macro="">
      <xdr:nvCxnSpPr>
        <xdr:cNvPr id="7" name="Connecteur droit avec flèche 6"/>
        <xdr:cNvCxnSpPr/>
      </xdr:nvCxnSpPr>
      <xdr:spPr>
        <a:xfrm rot="16200000" flipH="1">
          <a:off x="819152" y="4457700"/>
          <a:ext cx="495298"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209550</xdr:colOff>
      <xdr:row>22</xdr:row>
      <xdr:rowOff>9527</xdr:rowOff>
    </xdr:from>
    <xdr:to>
      <xdr:col>3</xdr:col>
      <xdr:colOff>209551</xdr:colOff>
      <xdr:row>24</xdr:row>
      <xdr:rowOff>123825</xdr:rowOff>
    </xdr:to>
    <xdr:cxnSp macro="">
      <xdr:nvCxnSpPr>
        <xdr:cNvPr id="8" name="Connecteur droit avec flèche 7"/>
        <xdr:cNvCxnSpPr/>
      </xdr:nvCxnSpPr>
      <xdr:spPr>
        <a:xfrm rot="16200000" flipH="1">
          <a:off x="2247902" y="4448175"/>
          <a:ext cx="495298"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228600</xdr:colOff>
      <xdr:row>26</xdr:row>
      <xdr:rowOff>47625</xdr:rowOff>
    </xdr:from>
    <xdr:to>
      <xdr:col>1</xdr:col>
      <xdr:colOff>466725</xdr:colOff>
      <xdr:row>26</xdr:row>
      <xdr:rowOff>152400</xdr:rowOff>
    </xdr:to>
    <xdr:cxnSp macro="">
      <xdr:nvCxnSpPr>
        <xdr:cNvPr id="9" name="Connecteur en angle 8"/>
        <xdr:cNvCxnSpPr/>
      </xdr:nvCxnSpPr>
      <xdr:spPr>
        <a:xfrm>
          <a:off x="990600" y="5000625"/>
          <a:ext cx="238125" cy="104775"/>
        </a:xfrm>
        <a:prstGeom prst="bentConnector3">
          <a:avLst>
            <a:gd name="adj1" fmla="val 50000"/>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95251</xdr:colOff>
      <xdr:row>26</xdr:row>
      <xdr:rowOff>47624</xdr:rowOff>
    </xdr:from>
    <xdr:to>
      <xdr:col>3</xdr:col>
      <xdr:colOff>333376</xdr:colOff>
      <xdr:row>26</xdr:row>
      <xdr:rowOff>152399</xdr:rowOff>
    </xdr:to>
    <xdr:cxnSp macro="">
      <xdr:nvCxnSpPr>
        <xdr:cNvPr id="10" name="Connecteur en angle 9"/>
        <xdr:cNvCxnSpPr/>
      </xdr:nvCxnSpPr>
      <xdr:spPr>
        <a:xfrm rot="10800000" flipV="1">
          <a:off x="2381251" y="5000624"/>
          <a:ext cx="238125" cy="104775"/>
        </a:xfrm>
        <a:prstGeom prst="bentConnector3">
          <a:avLst>
            <a:gd name="adj1" fmla="val 50000"/>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76201</xdr:colOff>
      <xdr:row>4</xdr:row>
      <xdr:rowOff>38102</xdr:rowOff>
    </xdr:from>
    <xdr:to>
      <xdr:col>12</xdr:col>
      <xdr:colOff>723901</xdr:colOff>
      <xdr:row>4</xdr:row>
      <xdr:rowOff>171450</xdr:rowOff>
    </xdr:to>
    <xdr:sp macro="[0]!CALCULX3" textlink="">
      <xdr:nvSpPr>
        <xdr:cNvPr id="15" name="Rectangle 14"/>
        <xdr:cNvSpPr/>
      </xdr:nvSpPr>
      <xdr:spPr>
        <a:xfrm>
          <a:off x="7734301" y="1009652"/>
          <a:ext cx="1543050" cy="133348"/>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9</xdr:col>
      <xdr:colOff>19050</xdr:colOff>
      <xdr:row>5</xdr:row>
      <xdr:rowOff>19051</xdr:rowOff>
    </xdr:from>
    <xdr:to>
      <xdr:col>13</xdr:col>
      <xdr:colOff>238124</xdr:colOff>
      <xdr:row>27</xdr:row>
      <xdr:rowOff>200024</xdr:rowOff>
    </xdr:to>
    <xdr:sp macro="" textlink="">
      <xdr:nvSpPr>
        <xdr:cNvPr id="14" name="Rectangle 13"/>
        <xdr:cNvSpPr/>
      </xdr:nvSpPr>
      <xdr:spPr>
        <a:xfrm>
          <a:off x="6219825" y="1238251"/>
          <a:ext cx="3400424" cy="4419598"/>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solidFill>
              <a:schemeClr val="bg1"/>
            </a:solidFill>
          </a:endParaRPr>
        </a:p>
      </xdr:txBody>
    </xdr:sp>
    <xdr:clientData/>
  </xdr:twoCellAnchor>
  <xdr:twoCellAnchor>
    <xdr:from>
      <xdr:col>8</xdr:col>
      <xdr:colOff>123826</xdr:colOff>
      <xdr:row>26</xdr:row>
      <xdr:rowOff>171450</xdr:rowOff>
    </xdr:from>
    <xdr:to>
      <xdr:col>8</xdr:col>
      <xdr:colOff>371475</xdr:colOff>
      <xdr:row>27</xdr:row>
      <xdr:rowOff>57150</xdr:rowOff>
    </xdr:to>
    <xdr:sp macro="[0]!SUPPX3" textlink="">
      <xdr:nvSpPr>
        <xdr:cNvPr id="12" name="Rectangle à coins arrondis 11"/>
        <xdr:cNvSpPr/>
      </xdr:nvSpPr>
      <xdr:spPr>
        <a:xfrm>
          <a:off x="5562601" y="5438775"/>
          <a:ext cx="247649" cy="85725"/>
        </a:xfrm>
        <a:prstGeom prst="roundRect">
          <a:avLst/>
        </a:prstGeom>
        <a:noFill/>
        <a:ln>
          <a:noFill/>
        </a:ln>
      </xdr:spPr>
      <xdr:style>
        <a:lnRef idx="2">
          <a:schemeClr val="accent1">
            <a:shade val="50000"/>
          </a:schemeClr>
        </a:lnRef>
        <a:fillRef idx="1003">
          <a:schemeClr val="dk2"/>
        </a:fillRef>
        <a:effectRef idx="0">
          <a:schemeClr val="accent1"/>
        </a:effectRef>
        <a:fontRef idx="minor">
          <a:schemeClr val="lt1"/>
        </a:fontRef>
      </xdr:style>
      <xdr:txBody>
        <a:bodyPr vertOverflow="clip" rtlCol="0" anchor="ctr"/>
        <a:lstStyle/>
        <a:p>
          <a:pPr algn="ctr"/>
          <a:endParaRPr lang="fr-FR" sz="1000" b="1"/>
        </a:p>
      </xdr:txBody>
    </xdr:sp>
    <xdr:clientData/>
  </xdr:twoCellAnchor>
  <xdr:twoCellAnchor>
    <xdr:from>
      <xdr:col>12</xdr:col>
      <xdr:colOff>466726</xdr:colOff>
      <xdr:row>0</xdr:row>
      <xdr:rowOff>19050</xdr:rowOff>
    </xdr:from>
    <xdr:to>
      <xdr:col>13</xdr:col>
      <xdr:colOff>219074</xdr:colOff>
      <xdr:row>1</xdr:row>
      <xdr:rowOff>152400</xdr:rowOff>
    </xdr:to>
    <xdr:sp macro="[0]!FERMX3" textlink="">
      <xdr:nvSpPr>
        <xdr:cNvPr id="13" name="Flèche droite rayée 12"/>
        <xdr:cNvSpPr/>
      </xdr:nvSpPr>
      <xdr:spPr>
        <a:xfrm>
          <a:off x="9086851" y="19050"/>
          <a:ext cx="514348" cy="495300"/>
        </a:xfrm>
        <a:prstGeom prst="stripedRightArrow">
          <a:avLst/>
        </a:prstGeom>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2838450</xdr:colOff>
      <xdr:row>0</xdr:row>
      <xdr:rowOff>95250</xdr:rowOff>
    </xdr:from>
    <xdr:to>
      <xdr:col>2</xdr:col>
      <xdr:colOff>3314700</xdr:colOff>
      <xdr:row>1</xdr:row>
      <xdr:rowOff>333375</xdr:rowOff>
    </xdr:to>
    <xdr:sp macro="[0]!FERMASTROS" textlink="">
      <xdr:nvSpPr>
        <xdr:cNvPr id="5" name="Flèche droite rayée 4"/>
        <xdr:cNvSpPr/>
      </xdr:nvSpPr>
      <xdr:spPr>
        <a:xfrm>
          <a:off x="9601200" y="95250"/>
          <a:ext cx="476250" cy="533400"/>
        </a:xfrm>
        <a:prstGeom prst="stripedRightArrow">
          <a:avLst/>
        </a:prstGeom>
        <a:solidFill>
          <a:srgbClr val="008000"/>
        </a:solidFill>
        <a:ln>
          <a:solidFill>
            <a:schemeClr val="tx2">
              <a:lumMod val="75000"/>
            </a:schemeClr>
          </a:solidFill>
        </a:ln>
      </xdr:spPr>
      <xdr:style>
        <a:lnRef idx="1">
          <a:schemeClr val="accent5"/>
        </a:lnRef>
        <a:fillRef idx="1003">
          <a:schemeClr val="dk2"/>
        </a:fillRef>
        <a:effectRef idx="2">
          <a:schemeClr val="accent5"/>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0</xdr:col>
      <xdr:colOff>1647825</xdr:colOff>
      <xdr:row>2</xdr:row>
      <xdr:rowOff>47625</xdr:rowOff>
    </xdr:from>
    <xdr:to>
      <xdr:col>0</xdr:col>
      <xdr:colOff>1757363</xdr:colOff>
      <xdr:row>2</xdr:row>
      <xdr:rowOff>147637</xdr:rowOff>
    </xdr:to>
    <xdr:sp macro="[0]!Module14.DELASTRO" textlink="">
      <xdr:nvSpPr>
        <xdr:cNvPr id="6" name="Ellipse 5"/>
        <xdr:cNvSpPr/>
      </xdr:nvSpPr>
      <xdr:spPr>
        <a:xfrm>
          <a:off x="1647825" y="952500"/>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1657350</xdr:colOff>
      <xdr:row>2</xdr:row>
      <xdr:rowOff>47625</xdr:rowOff>
    </xdr:from>
    <xdr:to>
      <xdr:col>1</xdr:col>
      <xdr:colOff>1766888</xdr:colOff>
      <xdr:row>2</xdr:row>
      <xdr:rowOff>147637</xdr:rowOff>
    </xdr:to>
    <xdr:sp macro="[0]!Module29.DELASTROCHINOIS" textlink="">
      <xdr:nvSpPr>
        <xdr:cNvPr id="7" name="Ellipse 6"/>
        <xdr:cNvSpPr/>
      </xdr:nvSpPr>
      <xdr:spPr>
        <a:xfrm>
          <a:off x="5038725" y="952500"/>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1647825</xdr:colOff>
      <xdr:row>2</xdr:row>
      <xdr:rowOff>57150</xdr:rowOff>
    </xdr:from>
    <xdr:to>
      <xdr:col>2</xdr:col>
      <xdr:colOff>1757363</xdr:colOff>
      <xdr:row>2</xdr:row>
      <xdr:rowOff>157162</xdr:rowOff>
    </xdr:to>
    <xdr:sp macro="[0]!DELASTROEGYPT" textlink="">
      <xdr:nvSpPr>
        <xdr:cNvPr id="9" name="Ellipse 8"/>
        <xdr:cNvSpPr/>
      </xdr:nvSpPr>
      <xdr:spPr>
        <a:xfrm>
          <a:off x="8410575" y="771525"/>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2</xdr:col>
      <xdr:colOff>228601</xdr:colOff>
      <xdr:row>3</xdr:row>
      <xdr:rowOff>417374</xdr:rowOff>
    </xdr:from>
    <xdr:to>
      <xdr:col>2</xdr:col>
      <xdr:colOff>3286125</xdr:colOff>
      <xdr:row>3</xdr:row>
      <xdr:rowOff>2888411</xdr:rowOff>
    </xdr:to>
    <xdr:pic macro="[0]!OUVASTROEGYPT">
      <xdr:nvPicPr>
        <xdr:cNvPr id="10" name="Image 9" descr="astrologie egyptienne gratuite.jpg"/>
        <xdr:cNvPicPr>
          <a:picLocks noChangeAspect="1"/>
        </xdr:cNvPicPr>
      </xdr:nvPicPr>
      <xdr:blipFill>
        <a:blip xmlns:r="http://schemas.openxmlformats.org/officeDocument/2006/relationships" r:embed="rId1" cstate="print"/>
        <a:stretch>
          <a:fillRect/>
        </a:stretch>
      </xdr:blipFill>
      <xdr:spPr>
        <a:xfrm>
          <a:off x="6991351" y="1322249"/>
          <a:ext cx="3057524" cy="2471037"/>
        </a:xfrm>
        <a:prstGeom prst="rect">
          <a:avLst/>
        </a:prstGeom>
      </xdr:spPr>
    </xdr:pic>
    <xdr:clientData/>
  </xdr:twoCellAnchor>
  <xdr:twoCellAnchor>
    <xdr:from>
      <xdr:col>1</xdr:col>
      <xdr:colOff>571501</xdr:colOff>
      <xdr:row>3</xdr:row>
      <xdr:rowOff>447675</xdr:rowOff>
    </xdr:from>
    <xdr:to>
      <xdr:col>1</xdr:col>
      <xdr:colOff>2771775</xdr:colOff>
      <xdr:row>3</xdr:row>
      <xdr:rowOff>2628901</xdr:rowOff>
    </xdr:to>
    <xdr:sp macro="" textlink="">
      <xdr:nvSpPr>
        <xdr:cNvPr id="14" name="Ellipse 13"/>
        <xdr:cNvSpPr/>
      </xdr:nvSpPr>
      <xdr:spPr>
        <a:xfrm>
          <a:off x="3952876" y="1352550"/>
          <a:ext cx="2200274" cy="2181226"/>
        </a:xfrm>
        <a:prstGeom prst="ellipse">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1</xdr:col>
      <xdr:colOff>57150</xdr:colOff>
      <xdr:row>3</xdr:row>
      <xdr:rowOff>0</xdr:rowOff>
    </xdr:from>
    <xdr:to>
      <xdr:col>1</xdr:col>
      <xdr:colOff>3338552</xdr:colOff>
      <xdr:row>3</xdr:row>
      <xdr:rowOff>3100427</xdr:rowOff>
    </xdr:to>
    <xdr:pic macro="[0]!OUVASTROCHINOIS">
      <xdr:nvPicPr>
        <xdr:cNvPr id="15" name="Image 14" descr="mon-signe-chinois.jpeg"/>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blip>
        <a:stretch>
          <a:fillRect/>
        </a:stretch>
      </xdr:blipFill>
      <xdr:spPr>
        <a:xfrm>
          <a:off x="3438525" y="904875"/>
          <a:ext cx="3281402" cy="3100427"/>
        </a:xfrm>
        <a:prstGeom prst="rect">
          <a:avLst/>
        </a:prstGeom>
      </xdr:spPr>
    </xdr:pic>
    <xdr:clientData/>
  </xdr:twoCellAnchor>
  <xdr:twoCellAnchor>
    <xdr:from>
      <xdr:col>0</xdr:col>
      <xdr:colOff>180975</xdr:colOff>
      <xdr:row>5</xdr:row>
      <xdr:rowOff>9525</xdr:rowOff>
    </xdr:from>
    <xdr:to>
      <xdr:col>0</xdr:col>
      <xdr:colOff>668020</xdr:colOff>
      <xdr:row>5</xdr:row>
      <xdr:rowOff>182274</xdr:rowOff>
    </xdr:to>
    <xdr:sp macro="" textlink="">
      <xdr:nvSpPr>
        <xdr:cNvPr id="17" name="Rectangle à coins arrondis 16"/>
        <xdr:cNvSpPr/>
      </xdr:nvSpPr>
      <xdr:spPr>
        <a:xfrm>
          <a:off x="180975" y="424815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2</xdr:col>
      <xdr:colOff>2724150</xdr:colOff>
      <xdr:row>5</xdr:row>
      <xdr:rowOff>9525</xdr:rowOff>
    </xdr:from>
    <xdr:to>
      <xdr:col>2</xdr:col>
      <xdr:colOff>3211195</xdr:colOff>
      <xdr:row>5</xdr:row>
      <xdr:rowOff>182274</xdr:rowOff>
    </xdr:to>
    <xdr:sp macro="" textlink="">
      <xdr:nvSpPr>
        <xdr:cNvPr id="18" name="Rectangle à coins arrondis 17"/>
        <xdr:cNvSpPr/>
      </xdr:nvSpPr>
      <xdr:spPr>
        <a:xfrm>
          <a:off x="9486900" y="424815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0</xdr:col>
      <xdr:colOff>228599</xdr:colOff>
      <xdr:row>3</xdr:row>
      <xdr:rowOff>142875</xdr:rowOff>
    </xdr:from>
    <xdr:to>
      <xdr:col>0</xdr:col>
      <xdr:colOff>3152774</xdr:colOff>
      <xdr:row>3</xdr:row>
      <xdr:rowOff>3000375</xdr:rowOff>
    </xdr:to>
    <xdr:sp macro="" textlink="">
      <xdr:nvSpPr>
        <xdr:cNvPr id="19" name="Ellipse 18"/>
        <xdr:cNvSpPr/>
      </xdr:nvSpPr>
      <xdr:spPr>
        <a:xfrm>
          <a:off x="228599" y="1047750"/>
          <a:ext cx="2924175" cy="2857500"/>
        </a:xfrm>
        <a:prstGeom prst="ellipse">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0</xdr:col>
      <xdr:colOff>133350</xdr:colOff>
      <xdr:row>3</xdr:row>
      <xdr:rowOff>47625</xdr:rowOff>
    </xdr:from>
    <xdr:to>
      <xdr:col>0</xdr:col>
      <xdr:colOff>3248025</xdr:colOff>
      <xdr:row>3</xdr:row>
      <xdr:rowOff>3081337</xdr:rowOff>
    </xdr:to>
    <xdr:pic macro="[0]!OUVASTRO">
      <xdr:nvPicPr>
        <xdr:cNvPr id="20" name="Image 19" descr="horoscope2.gif"/>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tretch>
          <a:fillRect/>
        </a:stretch>
      </xdr:blipFill>
      <xdr:spPr>
        <a:xfrm rot="10800000">
          <a:off x="133350" y="952500"/>
          <a:ext cx="3114675" cy="3033712"/>
        </a:xfrm>
        <a:prstGeom prst="rect">
          <a:avLst/>
        </a:prstGeom>
      </xdr:spPr>
    </xdr:pic>
    <xdr:clientData/>
  </xdr:twoCellAnchor>
  <xdr:twoCellAnchor>
    <xdr:from>
      <xdr:col>0</xdr:col>
      <xdr:colOff>9525</xdr:colOff>
      <xdr:row>17</xdr:row>
      <xdr:rowOff>28575</xdr:rowOff>
    </xdr:from>
    <xdr:to>
      <xdr:col>0</xdr:col>
      <xdr:colOff>3362325</xdr:colOff>
      <xdr:row>17</xdr:row>
      <xdr:rowOff>219075</xdr:rowOff>
    </xdr:to>
    <xdr:sp macro="[0]!VersThemeAstral_SSA" textlink="">
      <xdr:nvSpPr>
        <xdr:cNvPr id="21" name="Rectangle 20"/>
        <xdr:cNvSpPr/>
      </xdr:nvSpPr>
      <xdr:spPr>
        <a:xfrm>
          <a:off x="9525" y="6677025"/>
          <a:ext cx="3352800" cy="190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9525</xdr:colOff>
      <xdr:row>17</xdr:row>
      <xdr:rowOff>28575</xdr:rowOff>
    </xdr:from>
    <xdr:to>
      <xdr:col>1</xdr:col>
      <xdr:colOff>3362325</xdr:colOff>
      <xdr:row>17</xdr:row>
      <xdr:rowOff>219075</xdr:rowOff>
    </xdr:to>
    <xdr:sp macro="[0]!VersSigneChinois_SSA" textlink="">
      <xdr:nvSpPr>
        <xdr:cNvPr id="22" name="Rectangle 21"/>
        <xdr:cNvSpPr/>
      </xdr:nvSpPr>
      <xdr:spPr>
        <a:xfrm>
          <a:off x="3390900" y="6677025"/>
          <a:ext cx="3352800" cy="190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9525</xdr:colOff>
      <xdr:row>17</xdr:row>
      <xdr:rowOff>28575</xdr:rowOff>
    </xdr:from>
    <xdr:to>
      <xdr:col>2</xdr:col>
      <xdr:colOff>3362325</xdr:colOff>
      <xdr:row>17</xdr:row>
      <xdr:rowOff>219075</xdr:rowOff>
    </xdr:to>
    <xdr:sp macro="[0]!VersSigneEgyptien_SSA" textlink="">
      <xdr:nvSpPr>
        <xdr:cNvPr id="23" name="Rectangle 22"/>
        <xdr:cNvSpPr/>
      </xdr:nvSpPr>
      <xdr:spPr>
        <a:xfrm>
          <a:off x="6772275" y="6677025"/>
          <a:ext cx="3352800" cy="190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4</xdr:col>
      <xdr:colOff>331089</xdr:colOff>
      <xdr:row>10</xdr:row>
      <xdr:rowOff>126231</xdr:rowOff>
    </xdr:from>
    <xdr:to>
      <xdr:col>4</xdr:col>
      <xdr:colOff>694920</xdr:colOff>
      <xdr:row>11</xdr:row>
      <xdr:rowOff>247649</xdr:rowOff>
    </xdr:to>
    <xdr:pic macro="[0]!Elmt_SA_Eau">
      <xdr:nvPicPr>
        <xdr:cNvPr id="74" name="Image 73" descr="Eau"/>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duotone>
            <a:schemeClr val="accent1">
              <a:shade val="45000"/>
              <a:satMod val="135000"/>
            </a:schemeClr>
            <a:prstClr val="white"/>
          </a:duotone>
        </a:blip>
        <a:srcRect l="6567" t="11278" r="74109" b="20301"/>
        <a:stretch>
          <a:fillRect/>
        </a:stretch>
      </xdr:blipFill>
      <xdr:spPr>
        <a:xfrm>
          <a:off x="3721989" y="3688581"/>
          <a:ext cx="363831" cy="321443"/>
        </a:xfrm>
        <a:prstGeom prst="rect">
          <a:avLst/>
        </a:prstGeom>
        <a:effectLst>
          <a:glow rad="228600">
            <a:schemeClr val="accent1">
              <a:satMod val="175000"/>
              <a:alpha val="40000"/>
            </a:schemeClr>
          </a:glow>
        </a:effectLst>
      </xdr:spPr>
    </xdr:pic>
    <xdr:clientData/>
  </xdr:twoCellAnchor>
  <xdr:twoCellAnchor editAs="oneCell">
    <xdr:from>
      <xdr:col>4</xdr:col>
      <xdr:colOff>342901</xdr:colOff>
      <xdr:row>7</xdr:row>
      <xdr:rowOff>421506</xdr:rowOff>
    </xdr:from>
    <xdr:to>
      <xdr:col>4</xdr:col>
      <xdr:colOff>696135</xdr:colOff>
      <xdr:row>8</xdr:row>
      <xdr:rowOff>200024</xdr:rowOff>
    </xdr:to>
    <xdr:pic macro="[0]!Elmt_SA_Terre">
      <xdr:nvPicPr>
        <xdr:cNvPr id="75" name="Image 74" descr="Terre"/>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duotone>
            <a:schemeClr val="accent3">
              <a:shade val="45000"/>
              <a:satMod val="135000"/>
            </a:schemeClr>
            <a:prstClr val="white"/>
          </a:duotone>
        </a:blip>
        <a:srcRect l="28894" t="11278" r="52345" b="20301"/>
        <a:stretch>
          <a:fillRect/>
        </a:stretch>
      </xdr:blipFill>
      <xdr:spPr>
        <a:xfrm>
          <a:off x="3733801" y="2707506"/>
          <a:ext cx="353234" cy="321443"/>
        </a:xfrm>
        <a:prstGeom prst="rect">
          <a:avLst/>
        </a:prstGeom>
        <a:effectLst>
          <a:glow rad="228600">
            <a:schemeClr val="accent3">
              <a:satMod val="175000"/>
              <a:alpha val="40000"/>
            </a:schemeClr>
          </a:glow>
        </a:effectLst>
      </xdr:spPr>
    </xdr:pic>
    <xdr:clientData/>
  </xdr:twoCellAnchor>
  <xdr:twoCellAnchor editAs="oneCell">
    <xdr:from>
      <xdr:col>4</xdr:col>
      <xdr:colOff>351664</xdr:colOff>
      <xdr:row>6</xdr:row>
      <xdr:rowOff>116706</xdr:rowOff>
    </xdr:from>
    <xdr:to>
      <xdr:col>4</xdr:col>
      <xdr:colOff>708430</xdr:colOff>
      <xdr:row>7</xdr:row>
      <xdr:rowOff>238124</xdr:rowOff>
    </xdr:to>
    <xdr:pic macro="[0]!Elmt_SA_Feu">
      <xdr:nvPicPr>
        <xdr:cNvPr id="76" name="Image 75" descr="Feu"/>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duotone>
            <a:schemeClr val="accent2">
              <a:shade val="45000"/>
              <a:satMod val="135000"/>
            </a:schemeClr>
            <a:prstClr val="white"/>
          </a:duotone>
        </a:blip>
        <a:srcRect l="51220" t="11278" r="29831" b="20301"/>
        <a:stretch>
          <a:fillRect/>
        </a:stretch>
      </xdr:blipFill>
      <xdr:spPr>
        <a:xfrm>
          <a:off x="3742564" y="2202681"/>
          <a:ext cx="356766" cy="321443"/>
        </a:xfrm>
        <a:prstGeom prst="rect">
          <a:avLst/>
        </a:prstGeom>
        <a:effectLst>
          <a:glow rad="228600">
            <a:schemeClr val="accent2">
              <a:satMod val="175000"/>
              <a:alpha val="40000"/>
            </a:schemeClr>
          </a:glow>
        </a:effectLst>
      </xdr:spPr>
    </xdr:pic>
    <xdr:clientData/>
  </xdr:twoCellAnchor>
  <xdr:twoCellAnchor editAs="oneCell">
    <xdr:from>
      <xdr:col>4</xdr:col>
      <xdr:colOff>335661</xdr:colOff>
      <xdr:row>9</xdr:row>
      <xdr:rowOff>164331</xdr:rowOff>
    </xdr:from>
    <xdr:to>
      <xdr:col>4</xdr:col>
      <xdr:colOff>678297</xdr:colOff>
      <xdr:row>9</xdr:row>
      <xdr:rowOff>485774</xdr:rowOff>
    </xdr:to>
    <xdr:pic macro="[0]!Elmt_SA_Air">
      <xdr:nvPicPr>
        <xdr:cNvPr id="77" name="Image 76" descr="Ai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duotone>
            <a:schemeClr val="accent6">
              <a:shade val="45000"/>
              <a:satMod val="135000"/>
            </a:schemeClr>
            <a:prstClr val="white"/>
          </a:duotone>
        </a:blip>
        <a:srcRect l="74296" t="11278" r="7505" b="20301"/>
        <a:stretch>
          <a:fillRect/>
        </a:stretch>
      </xdr:blipFill>
      <xdr:spPr>
        <a:xfrm>
          <a:off x="3726561" y="3193281"/>
          <a:ext cx="342636" cy="321443"/>
        </a:xfrm>
        <a:prstGeom prst="rect">
          <a:avLst/>
        </a:prstGeom>
        <a:effectLst>
          <a:glow rad="228600">
            <a:schemeClr val="accent6">
              <a:satMod val="175000"/>
              <a:alpha val="40000"/>
            </a:schemeClr>
          </a:glow>
        </a:effectLst>
      </xdr:spPr>
    </xdr:pic>
    <xdr:clientData/>
  </xdr:twoCellAnchor>
  <xdr:twoCellAnchor editAs="oneCell">
    <xdr:from>
      <xdr:col>4</xdr:col>
      <xdr:colOff>28575</xdr:colOff>
      <xdr:row>12</xdr:row>
      <xdr:rowOff>87010</xdr:rowOff>
    </xdr:from>
    <xdr:to>
      <xdr:col>5</xdr:col>
      <xdr:colOff>228600</xdr:colOff>
      <xdr:row>16</xdr:row>
      <xdr:rowOff>9524</xdr:rowOff>
    </xdr:to>
    <xdr:pic macro="[0]!RAZSIGNEASTRO">
      <xdr:nvPicPr>
        <xdr:cNvPr id="10255" name="il_fi" descr="http://www.iza-voyance.com/image/voyance_boule.gif"/>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3419475" y="4392310"/>
          <a:ext cx="962025" cy="1313164"/>
        </a:xfrm>
        <a:prstGeom prst="rect">
          <a:avLst/>
        </a:prstGeom>
        <a:noFill/>
        <a:effectLst>
          <a:glow rad="228600">
            <a:schemeClr val="accent4">
              <a:satMod val="175000"/>
              <a:alpha val="40000"/>
            </a:schemeClr>
          </a:glow>
        </a:effectLst>
      </xdr:spPr>
    </xdr:pic>
    <xdr:clientData/>
  </xdr:twoCellAnchor>
  <xdr:twoCellAnchor>
    <xdr:from>
      <xdr:col>5</xdr:col>
      <xdr:colOff>714372</xdr:colOff>
      <xdr:row>5</xdr:row>
      <xdr:rowOff>19053</xdr:rowOff>
    </xdr:from>
    <xdr:to>
      <xdr:col>9</xdr:col>
      <xdr:colOff>190497</xdr:colOff>
      <xdr:row>13</xdr:row>
      <xdr:rowOff>457203</xdr:rowOff>
    </xdr:to>
    <xdr:sp macro="" textlink="">
      <xdr:nvSpPr>
        <xdr:cNvPr id="21" name="Rectangle à coins arrondis 20"/>
        <xdr:cNvSpPr/>
      </xdr:nvSpPr>
      <xdr:spPr>
        <a:xfrm rot="20662673">
          <a:off x="4867272" y="1543053"/>
          <a:ext cx="2524125" cy="3429000"/>
        </a:xfrm>
        <a:prstGeom prst="roundRect">
          <a:avLst/>
        </a:prstGeom>
        <a:solidFill>
          <a:schemeClr val="accent1">
            <a:lumMod val="40000"/>
            <a:lumOff val="60000"/>
          </a:schemeClr>
        </a:solidFill>
        <a:effectLst>
          <a:glow rad="228600">
            <a:schemeClr val="accent5">
              <a:satMod val="175000"/>
              <a:alpha val="40000"/>
            </a:schemeClr>
          </a:glow>
          <a:outerShdw blurRad="40000" dist="20000" dir="5400000" rotWithShape="0">
            <a:srgbClr val="000000">
              <a:alpha val="38000"/>
            </a:srgbClr>
          </a:outerShdw>
        </a:effectLst>
      </xdr:spPr>
      <xdr:style>
        <a:lnRef idx="3">
          <a:schemeClr val="lt1"/>
        </a:lnRef>
        <a:fillRef idx="1003">
          <a:schemeClr val="dk1"/>
        </a:fillRef>
        <a:effectRef idx="1">
          <a:schemeClr val="accent5"/>
        </a:effectRef>
        <a:fontRef idx="minor">
          <a:schemeClr val="lt1"/>
        </a:fontRef>
      </xdr:style>
      <xdr:txBody>
        <a:bodyPr vertOverflow="clip" rtlCol="0" anchor="ctr"/>
        <a:lstStyle/>
        <a:p>
          <a:pPr algn="ctr"/>
          <a:endParaRPr lang="fr-FR" sz="1100"/>
        </a:p>
      </xdr:txBody>
    </xdr:sp>
    <xdr:clientData/>
  </xdr:twoCellAnchor>
  <xdr:twoCellAnchor>
    <xdr:from>
      <xdr:col>8</xdr:col>
      <xdr:colOff>723898</xdr:colOff>
      <xdr:row>5</xdr:row>
      <xdr:rowOff>19054</xdr:rowOff>
    </xdr:from>
    <xdr:to>
      <xdr:col>12</xdr:col>
      <xdr:colOff>200023</xdr:colOff>
      <xdr:row>13</xdr:row>
      <xdr:rowOff>457204</xdr:rowOff>
    </xdr:to>
    <xdr:sp macro="" textlink="">
      <xdr:nvSpPr>
        <xdr:cNvPr id="22" name="Rectangle à coins arrondis 21"/>
        <xdr:cNvSpPr/>
      </xdr:nvSpPr>
      <xdr:spPr>
        <a:xfrm rot="20662673">
          <a:off x="7162798" y="1543054"/>
          <a:ext cx="2524125" cy="3429000"/>
        </a:xfrm>
        <a:prstGeom prst="roundRect">
          <a:avLst/>
        </a:prstGeom>
        <a:solidFill>
          <a:schemeClr val="accent1">
            <a:lumMod val="40000"/>
            <a:lumOff val="60000"/>
          </a:schemeClr>
        </a:solidFill>
        <a:effectLst>
          <a:glow rad="228600">
            <a:schemeClr val="accent5">
              <a:satMod val="175000"/>
              <a:alpha val="40000"/>
            </a:schemeClr>
          </a:glow>
          <a:outerShdw blurRad="40000" dist="20000" dir="5400000" rotWithShape="0">
            <a:srgbClr val="000000">
              <a:alpha val="38000"/>
            </a:srgbClr>
          </a:outerShdw>
        </a:effectLst>
      </xdr:spPr>
      <xdr:style>
        <a:lnRef idx="3">
          <a:schemeClr val="lt1"/>
        </a:lnRef>
        <a:fillRef idx="1003">
          <a:schemeClr val="dk1"/>
        </a:fillRef>
        <a:effectRef idx="1">
          <a:schemeClr val="accent2"/>
        </a:effectRef>
        <a:fontRef idx="minor">
          <a:schemeClr val="lt1"/>
        </a:fontRef>
      </xdr:style>
      <xdr:txBody>
        <a:bodyPr vertOverflow="clip" rtlCol="0" anchor="ctr"/>
        <a:lstStyle/>
        <a:p>
          <a:pPr algn="ctr"/>
          <a:endParaRPr lang="fr-FR" sz="1100"/>
        </a:p>
      </xdr:txBody>
    </xdr:sp>
    <xdr:clientData/>
  </xdr:twoCellAnchor>
  <xdr:twoCellAnchor>
    <xdr:from>
      <xdr:col>11</xdr:col>
      <xdr:colOff>742949</xdr:colOff>
      <xdr:row>5</xdr:row>
      <xdr:rowOff>0</xdr:rowOff>
    </xdr:from>
    <xdr:to>
      <xdr:col>15</xdr:col>
      <xdr:colOff>219074</xdr:colOff>
      <xdr:row>13</xdr:row>
      <xdr:rowOff>428628</xdr:rowOff>
    </xdr:to>
    <xdr:sp macro="" textlink="">
      <xdr:nvSpPr>
        <xdr:cNvPr id="23" name="Rectangle à coins arrondis 22"/>
        <xdr:cNvSpPr/>
      </xdr:nvSpPr>
      <xdr:spPr>
        <a:xfrm rot="20662673">
          <a:off x="9467849" y="1514478"/>
          <a:ext cx="2524125" cy="3429000"/>
        </a:xfrm>
        <a:prstGeom prst="roundRect">
          <a:avLst/>
        </a:prstGeom>
        <a:solidFill>
          <a:schemeClr val="accent1">
            <a:lumMod val="40000"/>
            <a:lumOff val="60000"/>
          </a:schemeClr>
        </a:solidFill>
        <a:effectLst>
          <a:glow rad="228600">
            <a:schemeClr val="accent5">
              <a:satMod val="175000"/>
              <a:alpha val="40000"/>
            </a:schemeClr>
          </a:glow>
          <a:outerShdw blurRad="40000" dist="20000" dir="5400000" rotWithShape="0">
            <a:srgbClr val="000000">
              <a:alpha val="38000"/>
            </a:srgbClr>
          </a:outerShdw>
        </a:effectLst>
      </xdr:spPr>
      <xdr:style>
        <a:lnRef idx="3">
          <a:schemeClr val="lt1"/>
        </a:lnRef>
        <a:fillRef idx="1003">
          <a:schemeClr val="dk1"/>
        </a:fillRef>
        <a:effectRef idx="1">
          <a:schemeClr val="accent3"/>
        </a:effectRef>
        <a:fontRef idx="minor">
          <a:schemeClr val="lt1"/>
        </a:fontRef>
      </xdr:style>
      <xdr:txBody>
        <a:bodyPr vertOverflow="clip" rtlCol="0" anchor="ctr"/>
        <a:lstStyle/>
        <a:p>
          <a:pPr algn="ctr"/>
          <a:endParaRPr lang="fr-FR" sz="1100"/>
        </a:p>
      </xdr:txBody>
    </xdr:sp>
    <xdr:clientData/>
  </xdr:twoCellAnchor>
  <xdr:twoCellAnchor>
    <xdr:from>
      <xdr:col>15</xdr:col>
      <xdr:colOff>76199</xdr:colOff>
      <xdr:row>5</xdr:row>
      <xdr:rowOff>0</xdr:rowOff>
    </xdr:from>
    <xdr:to>
      <xdr:col>18</xdr:col>
      <xdr:colOff>314324</xdr:colOff>
      <xdr:row>13</xdr:row>
      <xdr:rowOff>400054</xdr:rowOff>
    </xdr:to>
    <xdr:sp macro="" textlink="">
      <xdr:nvSpPr>
        <xdr:cNvPr id="24" name="Rectangle à coins arrondis 23"/>
        <xdr:cNvSpPr/>
      </xdr:nvSpPr>
      <xdr:spPr>
        <a:xfrm rot="20662673">
          <a:off x="11849099" y="1485904"/>
          <a:ext cx="2524125" cy="3429000"/>
        </a:xfrm>
        <a:prstGeom prst="roundRect">
          <a:avLst/>
        </a:prstGeom>
        <a:solidFill>
          <a:schemeClr val="accent1">
            <a:lumMod val="40000"/>
            <a:lumOff val="60000"/>
          </a:schemeClr>
        </a:solidFill>
        <a:effectLst>
          <a:glow rad="228600">
            <a:schemeClr val="accent5">
              <a:satMod val="175000"/>
              <a:alpha val="40000"/>
            </a:schemeClr>
          </a:glow>
          <a:outerShdw blurRad="40000" dist="20000" dir="5400000" rotWithShape="0">
            <a:srgbClr val="000000">
              <a:alpha val="38000"/>
            </a:srgbClr>
          </a:outerShdw>
        </a:effectLst>
      </xdr:spPr>
      <xdr:style>
        <a:lnRef idx="3">
          <a:schemeClr val="lt1"/>
        </a:lnRef>
        <a:fillRef idx="1003">
          <a:schemeClr val="dk1"/>
        </a:fillRef>
        <a:effectRef idx="1">
          <a:schemeClr val="accent4"/>
        </a:effectRef>
        <a:fontRef idx="minor">
          <a:schemeClr val="lt1"/>
        </a:fontRef>
      </xdr:style>
      <xdr:txBody>
        <a:bodyPr vertOverflow="clip" rtlCol="0" anchor="ctr"/>
        <a:lstStyle/>
        <a:p>
          <a:pPr algn="ctr"/>
          <a:endParaRPr lang="fr-FR" sz="1100"/>
        </a:p>
      </xdr:txBody>
    </xdr:sp>
    <xdr:clientData/>
  </xdr:twoCellAnchor>
  <xdr:twoCellAnchor editAs="oneCell">
    <xdr:from>
      <xdr:col>16</xdr:col>
      <xdr:colOff>566057</xdr:colOff>
      <xdr:row>7</xdr:row>
      <xdr:rowOff>220439</xdr:rowOff>
    </xdr:from>
    <xdr:to>
      <xdr:col>18</xdr:col>
      <xdr:colOff>131370</xdr:colOff>
      <xdr:row>10</xdr:row>
      <xdr:rowOff>51012</xdr:rowOff>
    </xdr:to>
    <xdr:pic>
      <xdr:nvPicPr>
        <xdr:cNvPr id="27" name="bigpic" descr="stickers, autocollant signe astrologique balance"/>
        <xdr:cNvPicPr>
          <a:picLocks noChangeAspect="1" noChangeArrowheads="1"/>
        </xdr:cNvPicPr>
      </xdr:nvPicPr>
      <xdr:blipFill>
        <a:blip xmlns:r="http://schemas.openxmlformats.org/officeDocument/2006/relationships" r:embed="rId3" cstate="print">
          <a:duotone>
            <a:schemeClr val="accent6">
              <a:shade val="45000"/>
              <a:satMod val="135000"/>
            </a:schemeClr>
            <a:prstClr val="white"/>
          </a:duotone>
        </a:blip>
        <a:srcRect/>
        <a:stretch>
          <a:fillRect/>
        </a:stretch>
      </xdr:blipFill>
      <xdr:spPr bwMode="auto">
        <a:xfrm rot="20579366">
          <a:off x="13100957" y="2515964"/>
          <a:ext cx="1108363" cy="110692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11</xdr:col>
      <xdr:colOff>657223</xdr:colOff>
      <xdr:row>5</xdr:row>
      <xdr:rowOff>190503</xdr:rowOff>
    </xdr:from>
    <xdr:to>
      <xdr:col>13</xdr:col>
      <xdr:colOff>241586</xdr:colOff>
      <xdr:row>7</xdr:row>
      <xdr:rowOff>524318</xdr:rowOff>
    </xdr:to>
    <xdr:pic>
      <xdr:nvPicPr>
        <xdr:cNvPr id="28" name="bigpic" descr="stickers, autocollant signe astrologique bélier"/>
        <xdr:cNvPicPr>
          <a:picLocks noChangeAspect="1" noChangeArrowheads="1"/>
        </xdr:cNvPicPr>
      </xdr:nvPicPr>
      <xdr:blipFill>
        <a:blip xmlns:r="http://schemas.openxmlformats.org/officeDocument/2006/relationships" r:embed="rId4" cstate="print">
          <a:duotone>
            <a:schemeClr val="accent3">
              <a:shade val="45000"/>
              <a:satMod val="135000"/>
            </a:schemeClr>
            <a:prstClr val="white"/>
          </a:duotone>
        </a:blip>
        <a:srcRect/>
        <a:stretch>
          <a:fillRect/>
        </a:stretch>
      </xdr:blipFill>
      <xdr:spPr bwMode="auto">
        <a:xfrm rot="20686627">
          <a:off x="9382123" y="1714503"/>
          <a:ext cx="1108363" cy="110534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13</xdr:col>
      <xdr:colOff>200024</xdr:colOff>
      <xdr:row>5</xdr:row>
      <xdr:rowOff>0</xdr:rowOff>
    </xdr:from>
    <xdr:to>
      <xdr:col>14</xdr:col>
      <xdr:colOff>527337</xdr:colOff>
      <xdr:row>7</xdr:row>
      <xdr:rowOff>336838</xdr:rowOff>
    </xdr:to>
    <xdr:pic>
      <xdr:nvPicPr>
        <xdr:cNvPr id="30" name="bigpic" descr="stickers, autocollant signe astrologique lion"/>
        <xdr:cNvPicPr>
          <a:picLocks noChangeAspect="1" noChangeArrowheads="1"/>
        </xdr:cNvPicPr>
      </xdr:nvPicPr>
      <xdr:blipFill>
        <a:blip xmlns:r="http://schemas.openxmlformats.org/officeDocument/2006/relationships" r:embed="rId5" cstate="print">
          <a:duotone>
            <a:schemeClr val="accent2">
              <a:shade val="45000"/>
              <a:satMod val="135000"/>
            </a:schemeClr>
            <a:prstClr val="white"/>
          </a:duotone>
        </a:blip>
        <a:srcRect/>
        <a:stretch>
          <a:fillRect/>
        </a:stretch>
      </xdr:blipFill>
      <xdr:spPr bwMode="auto">
        <a:xfrm rot="20686627">
          <a:off x="10448924" y="1459061"/>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16</xdr:col>
      <xdr:colOff>380999</xdr:colOff>
      <xdr:row>5</xdr:row>
      <xdr:rowOff>0</xdr:rowOff>
    </xdr:from>
    <xdr:to>
      <xdr:col>17</xdr:col>
      <xdr:colOff>708312</xdr:colOff>
      <xdr:row>7</xdr:row>
      <xdr:rowOff>336838</xdr:rowOff>
    </xdr:to>
    <xdr:pic>
      <xdr:nvPicPr>
        <xdr:cNvPr id="33" name="bigpic" descr="stickers, autocollant signe astrologique verseau"/>
        <xdr:cNvPicPr>
          <a:picLocks noChangeAspect="1" noChangeArrowheads="1"/>
        </xdr:cNvPicPr>
      </xdr:nvPicPr>
      <xdr:blipFill>
        <a:blip xmlns:r="http://schemas.openxmlformats.org/officeDocument/2006/relationships" r:embed="rId6" cstate="print">
          <a:duotone>
            <a:schemeClr val="accent6">
              <a:shade val="45000"/>
              <a:satMod val="135000"/>
            </a:schemeClr>
            <a:prstClr val="white"/>
          </a:duotone>
        </a:blip>
        <a:srcRect/>
        <a:stretch>
          <a:fillRect/>
        </a:stretch>
      </xdr:blipFill>
      <xdr:spPr bwMode="auto">
        <a:xfrm rot="20579366">
          <a:off x="12915899" y="1487634"/>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15</xdr:col>
      <xdr:colOff>277585</xdr:colOff>
      <xdr:row>7</xdr:row>
      <xdr:rowOff>473532</xdr:rowOff>
    </xdr:from>
    <xdr:to>
      <xdr:col>16</xdr:col>
      <xdr:colOff>623948</xdr:colOff>
      <xdr:row>11</xdr:row>
      <xdr:rowOff>104080</xdr:rowOff>
    </xdr:to>
    <xdr:pic>
      <xdr:nvPicPr>
        <xdr:cNvPr id="34" name="bigpic" descr="stickers, autocollant signe astrologique poisson"/>
        <xdr:cNvPicPr>
          <a:picLocks noChangeAspect="1" noChangeArrowheads="1"/>
        </xdr:cNvPicPr>
      </xdr:nvPicPr>
      <xdr:blipFill>
        <a:blip xmlns:r="http://schemas.openxmlformats.org/officeDocument/2006/relationships" r:embed="rId7" cstate="print">
          <a:duotone>
            <a:schemeClr val="accent1">
              <a:shade val="45000"/>
              <a:satMod val="135000"/>
            </a:schemeClr>
            <a:prstClr val="white"/>
          </a:duotone>
        </a:blip>
        <a:srcRect/>
        <a:stretch>
          <a:fillRect/>
        </a:stretch>
      </xdr:blipFill>
      <xdr:spPr bwMode="auto">
        <a:xfrm rot="20582277">
          <a:off x="12050485" y="2769057"/>
          <a:ext cx="1108363" cy="110692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15</xdr:col>
      <xdr:colOff>568779</xdr:colOff>
      <xdr:row>11</xdr:row>
      <xdr:rowOff>96984</xdr:rowOff>
    </xdr:from>
    <xdr:to>
      <xdr:col>17</xdr:col>
      <xdr:colOff>134092</xdr:colOff>
      <xdr:row>13</xdr:row>
      <xdr:rowOff>462397</xdr:rowOff>
    </xdr:to>
    <xdr:pic>
      <xdr:nvPicPr>
        <xdr:cNvPr id="36" name="bigpic" descr="stickers, autocollant signe astrologique taureau"/>
        <xdr:cNvPicPr>
          <a:picLocks noChangeAspect="1" noChangeArrowheads="1"/>
        </xdr:cNvPicPr>
      </xdr:nvPicPr>
      <xdr:blipFill>
        <a:blip xmlns:r="http://schemas.openxmlformats.org/officeDocument/2006/relationships" r:embed="rId8" cstate="print">
          <a:duotone>
            <a:schemeClr val="accent3">
              <a:shade val="45000"/>
              <a:satMod val="135000"/>
            </a:schemeClr>
            <a:prstClr val="white"/>
          </a:duotone>
        </a:blip>
        <a:srcRect/>
        <a:stretch>
          <a:fillRect/>
        </a:stretch>
      </xdr:blipFill>
      <xdr:spPr bwMode="auto">
        <a:xfrm rot="20579366">
          <a:off x="12341679" y="3868884"/>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12</xdr:col>
      <xdr:colOff>393120</xdr:colOff>
      <xdr:row>11</xdr:row>
      <xdr:rowOff>93521</xdr:rowOff>
    </xdr:from>
    <xdr:to>
      <xdr:col>13</xdr:col>
      <xdr:colOff>739483</xdr:colOff>
      <xdr:row>13</xdr:row>
      <xdr:rowOff>457494</xdr:rowOff>
    </xdr:to>
    <xdr:pic>
      <xdr:nvPicPr>
        <xdr:cNvPr id="37" name="bigpic" descr="stickers, autocollant signe astrologique capricorne"/>
        <xdr:cNvPicPr>
          <a:picLocks noChangeAspect="1" noChangeArrowheads="1"/>
        </xdr:cNvPicPr>
      </xdr:nvPicPr>
      <xdr:blipFill>
        <a:blip xmlns:r="http://schemas.openxmlformats.org/officeDocument/2006/relationships" r:embed="rId9" cstate="print">
          <a:duotone>
            <a:schemeClr val="accent2">
              <a:shade val="45000"/>
              <a:satMod val="135000"/>
            </a:schemeClr>
            <a:prstClr val="white"/>
          </a:duotone>
        </a:blip>
        <a:srcRect/>
        <a:stretch>
          <a:fillRect/>
        </a:stretch>
      </xdr:blipFill>
      <xdr:spPr bwMode="auto">
        <a:xfrm rot="20686627">
          <a:off x="9880020" y="3865421"/>
          <a:ext cx="1108363" cy="110692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7</xdr:col>
      <xdr:colOff>661305</xdr:colOff>
      <xdr:row>10</xdr:row>
      <xdr:rowOff>106134</xdr:rowOff>
    </xdr:from>
    <xdr:to>
      <xdr:col>9</xdr:col>
      <xdr:colOff>226618</xdr:colOff>
      <xdr:row>13</xdr:row>
      <xdr:rowOff>270082</xdr:rowOff>
    </xdr:to>
    <xdr:pic>
      <xdr:nvPicPr>
        <xdr:cNvPr id="44" name="bigpic" descr="stickers, autocollant signe astrologique balance"/>
        <xdr:cNvPicPr>
          <a:picLocks noChangeAspect="1" noChangeArrowheads="1"/>
        </xdr:cNvPicPr>
      </xdr:nvPicPr>
      <xdr:blipFill>
        <a:blip xmlns:r="http://schemas.openxmlformats.org/officeDocument/2006/relationships" r:embed="rId3" cstate="print">
          <a:duotone>
            <a:schemeClr val="accent6">
              <a:shade val="45000"/>
              <a:satMod val="135000"/>
            </a:schemeClr>
            <a:prstClr val="white"/>
          </a:duotone>
        </a:blip>
        <a:srcRect/>
        <a:stretch>
          <a:fillRect/>
        </a:stretch>
      </xdr:blipFill>
      <xdr:spPr bwMode="auto">
        <a:xfrm rot="20686902">
          <a:off x="6338205" y="3678009"/>
          <a:ext cx="1108363" cy="110692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6</xdr:col>
      <xdr:colOff>85724</xdr:colOff>
      <xdr:row>8</xdr:row>
      <xdr:rowOff>11256</xdr:rowOff>
    </xdr:from>
    <xdr:to>
      <xdr:col>7</xdr:col>
      <xdr:colOff>432087</xdr:colOff>
      <xdr:row>11</xdr:row>
      <xdr:rowOff>186169</xdr:rowOff>
    </xdr:to>
    <xdr:pic>
      <xdr:nvPicPr>
        <xdr:cNvPr id="45" name="bigpic" descr="stickers, autocollant signe astrologique lion"/>
        <xdr:cNvPicPr>
          <a:picLocks noChangeAspect="1" noChangeArrowheads="1"/>
        </xdr:cNvPicPr>
      </xdr:nvPicPr>
      <xdr:blipFill>
        <a:blip xmlns:r="http://schemas.openxmlformats.org/officeDocument/2006/relationships" r:embed="rId5" cstate="print">
          <a:duotone>
            <a:schemeClr val="accent2">
              <a:shade val="45000"/>
              <a:satMod val="135000"/>
            </a:schemeClr>
            <a:prstClr val="white"/>
          </a:duotone>
        </a:blip>
        <a:srcRect/>
        <a:stretch>
          <a:fillRect/>
        </a:stretch>
      </xdr:blipFill>
      <xdr:spPr bwMode="auto">
        <a:xfrm rot="20686902">
          <a:off x="5000624" y="2849706"/>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7</xdr:col>
      <xdr:colOff>180973</xdr:colOff>
      <xdr:row>5</xdr:row>
      <xdr:rowOff>0</xdr:rowOff>
    </xdr:from>
    <xdr:to>
      <xdr:col>8</xdr:col>
      <xdr:colOff>508286</xdr:colOff>
      <xdr:row>7</xdr:row>
      <xdr:rowOff>336838</xdr:rowOff>
    </xdr:to>
    <xdr:pic>
      <xdr:nvPicPr>
        <xdr:cNvPr id="46" name="bigpic" descr="stickers, autocollant signe astrologique sagittaire"/>
        <xdr:cNvPicPr>
          <a:picLocks noChangeAspect="1" noChangeArrowheads="1"/>
        </xdr:cNvPicPr>
      </xdr:nvPicPr>
      <xdr:blipFill>
        <a:blip xmlns:r="http://schemas.openxmlformats.org/officeDocument/2006/relationships" r:embed="rId10" cstate="print">
          <a:duotone>
            <a:schemeClr val="accent2">
              <a:shade val="45000"/>
              <a:satMod val="135000"/>
            </a:schemeClr>
            <a:prstClr val="white"/>
          </a:duotone>
        </a:blip>
        <a:srcRect/>
        <a:stretch>
          <a:fillRect/>
        </a:stretch>
      </xdr:blipFill>
      <xdr:spPr bwMode="auto">
        <a:xfrm rot="20686902">
          <a:off x="5857873" y="1516209"/>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6</xdr:col>
      <xdr:colOff>352423</xdr:colOff>
      <xdr:row>11</xdr:row>
      <xdr:rowOff>192235</xdr:rowOff>
    </xdr:from>
    <xdr:to>
      <xdr:col>7</xdr:col>
      <xdr:colOff>698786</xdr:colOff>
      <xdr:row>14</xdr:row>
      <xdr:rowOff>81398</xdr:rowOff>
    </xdr:to>
    <xdr:pic>
      <xdr:nvPicPr>
        <xdr:cNvPr id="47" name="bigpic" descr="stickers, autocollant signe astrologique verseau"/>
        <xdr:cNvPicPr>
          <a:picLocks noChangeAspect="1" noChangeArrowheads="1"/>
        </xdr:cNvPicPr>
      </xdr:nvPicPr>
      <xdr:blipFill>
        <a:blip xmlns:r="http://schemas.openxmlformats.org/officeDocument/2006/relationships" r:embed="rId6" cstate="print">
          <a:duotone>
            <a:schemeClr val="accent6">
              <a:shade val="45000"/>
              <a:satMod val="135000"/>
            </a:schemeClr>
            <a:prstClr val="white"/>
          </a:duotone>
        </a:blip>
        <a:srcRect/>
        <a:stretch>
          <a:fillRect/>
        </a:stretch>
      </xdr:blipFill>
      <xdr:spPr bwMode="auto">
        <a:xfrm rot="20686902">
          <a:off x="5267323" y="3964135"/>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7</xdr:col>
      <xdr:colOff>416377</xdr:colOff>
      <xdr:row>7</xdr:row>
      <xdr:rowOff>284762</xdr:rowOff>
    </xdr:from>
    <xdr:to>
      <xdr:col>8</xdr:col>
      <xdr:colOff>743690</xdr:colOff>
      <xdr:row>10</xdr:row>
      <xdr:rowOff>116775</xdr:rowOff>
    </xdr:to>
    <xdr:pic>
      <xdr:nvPicPr>
        <xdr:cNvPr id="48" name="bigpic" descr="stickers, autocollant signe astrologique vierge"/>
        <xdr:cNvPicPr>
          <a:picLocks noChangeAspect="1" noChangeArrowheads="1"/>
        </xdr:cNvPicPr>
      </xdr:nvPicPr>
      <xdr:blipFill>
        <a:blip xmlns:r="http://schemas.openxmlformats.org/officeDocument/2006/relationships" r:embed="rId11" cstate="print">
          <a:duotone>
            <a:schemeClr val="accent3">
              <a:shade val="45000"/>
              <a:satMod val="135000"/>
            </a:schemeClr>
            <a:prstClr val="white"/>
          </a:duotone>
        </a:blip>
        <a:srcRect/>
        <a:stretch>
          <a:fillRect/>
        </a:stretch>
      </xdr:blipFill>
      <xdr:spPr bwMode="auto">
        <a:xfrm rot="20686902">
          <a:off x="6093277" y="2580287"/>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5</xdr:col>
      <xdr:colOff>593146</xdr:colOff>
      <xdr:row>5</xdr:row>
      <xdr:rowOff>226870</xdr:rowOff>
    </xdr:from>
    <xdr:to>
      <xdr:col>7</xdr:col>
      <xdr:colOff>177509</xdr:colOff>
      <xdr:row>8</xdr:row>
      <xdr:rowOff>19343</xdr:rowOff>
    </xdr:to>
    <xdr:pic>
      <xdr:nvPicPr>
        <xdr:cNvPr id="49" name="bigpic" descr="stickers, autocollant signe astrologique capricorne"/>
        <xdr:cNvPicPr>
          <a:picLocks noChangeAspect="1" noChangeArrowheads="1"/>
        </xdr:cNvPicPr>
      </xdr:nvPicPr>
      <xdr:blipFill>
        <a:blip xmlns:r="http://schemas.openxmlformats.org/officeDocument/2006/relationships" r:embed="rId9" cstate="print">
          <a:duotone>
            <a:schemeClr val="accent2">
              <a:shade val="45000"/>
              <a:satMod val="135000"/>
            </a:schemeClr>
            <a:prstClr val="white"/>
          </a:duotone>
        </a:blip>
        <a:srcRect/>
        <a:stretch>
          <a:fillRect/>
        </a:stretch>
      </xdr:blipFill>
      <xdr:spPr bwMode="auto">
        <a:xfrm rot="20686902">
          <a:off x="4746046" y="1750870"/>
          <a:ext cx="1108363" cy="110692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9</xdr:col>
      <xdr:colOff>30086</xdr:colOff>
      <xdr:row>8</xdr:row>
      <xdr:rowOff>36591</xdr:rowOff>
    </xdr:from>
    <xdr:to>
      <xdr:col>10</xdr:col>
      <xdr:colOff>373426</xdr:colOff>
      <xdr:row>11</xdr:row>
      <xdr:rowOff>211504</xdr:rowOff>
    </xdr:to>
    <xdr:pic>
      <xdr:nvPicPr>
        <xdr:cNvPr id="50" name="bigpic" descr="stickers, autocollant signe astrologique cancer"/>
        <xdr:cNvPicPr>
          <a:picLocks noChangeAspect="1" noChangeArrowheads="1"/>
        </xdr:cNvPicPr>
      </xdr:nvPicPr>
      <xdr:blipFill>
        <a:blip xmlns:r="http://schemas.openxmlformats.org/officeDocument/2006/relationships" r:embed="rId12" cstate="print">
          <a:duotone>
            <a:schemeClr val="accent1">
              <a:shade val="45000"/>
              <a:satMod val="135000"/>
            </a:schemeClr>
            <a:prstClr val="white"/>
          </a:duotone>
        </a:blip>
        <a:srcRect/>
        <a:stretch>
          <a:fillRect/>
        </a:stretch>
      </xdr:blipFill>
      <xdr:spPr bwMode="auto">
        <a:xfrm rot="18062210">
          <a:off x="7229474" y="2876553"/>
          <a:ext cx="1108363" cy="110534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10</xdr:col>
      <xdr:colOff>651781</xdr:colOff>
      <xdr:row>10</xdr:row>
      <xdr:rowOff>48989</xdr:rowOff>
    </xdr:from>
    <xdr:to>
      <xdr:col>12</xdr:col>
      <xdr:colOff>217094</xdr:colOff>
      <xdr:row>13</xdr:row>
      <xdr:rowOff>212937</xdr:rowOff>
    </xdr:to>
    <xdr:pic>
      <xdr:nvPicPr>
        <xdr:cNvPr id="51" name="bigpic" descr="stickers, autocollant signe astrologique balance"/>
        <xdr:cNvPicPr>
          <a:picLocks noChangeAspect="1" noChangeArrowheads="1"/>
        </xdr:cNvPicPr>
      </xdr:nvPicPr>
      <xdr:blipFill>
        <a:blip xmlns:r="http://schemas.openxmlformats.org/officeDocument/2006/relationships" r:embed="rId3" cstate="print">
          <a:duotone>
            <a:schemeClr val="accent6">
              <a:shade val="45000"/>
              <a:satMod val="135000"/>
            </a:schemeClr>
            <a:prstClr val="white"/>
          </a:duotone>
        </a:blip>
        <a:srcRect/>
        <a:stretch>
          <a:fillRect/>
        </a:stretch>
      </xdr:blipFill>
      <xdr:spPr bwMode="auto">
        <a:xfrm rot="20699406">
          <a:off x="8614681" y="3620864"/>
          <a:ext cx="1108363" cy="110692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10</xdr:col>
      <xdr:colOff>171449</xdr:colOff>
      <xdr:row>5</xdr:row>
      <xdr:rowOff>0</xdr:rowOff>
    </xdr:from>
    <xdr:to>
      <xdr:col>11</xdr:col>
      <xdr:colOff>498762</xdr:colOff>
      <xdr:row>7</xdr:row>
      <xdr:rowOff>336838</xdr:rowOff>
    </xdr:to>
    <xdr:pic>
      <xdr:nvPicPr>
        <xdr:cNvPr id="52" name="bigpic" descr="stickers, autocollant signe astrologique sagittaire"/>
        <xdr:cNvPicPr>
          <a:picLocks noChangeAspect="1" noChangeArrowheads="1"/>
        </xdr:cNvPicPr>
      </xdr:nvPicPr>
      <xdr:blipFill>
        <a:blip xmlns:r="http://schemas.openxmlformats.org/officeDocument/2006/relationships" r:embed="rId10" cstate="print">
          <a:duotone>
            <a:schemeClr val="accent2">
              <a:shade val="45000"/>
              <a:satMod val="135000"/>
            </a:schemeClr>
            <a:prstClr val="white"/>
          </a:duotone>
        </a:blip>
        <a:srcRect/>
        <a:stretch>
          <a:fillRect/>
        </a:stretch>
      </xdr:blipFill>
      <xdr:spPr bwMode="auto">
        <a:xfrm rot="20699406">
          <a:off x="8134349" y="1506684"/>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8</xdr:col>
      <xdr:colOff>619126</xdr:colOff>
      <xdr:row>5</xdr:row>
      <xdr:rowOff>249382</xdr:rowOff>
    </xdr:from>
    <xdr:to>
      <xdr:col>10</xdr:col>
      <xdr:colOff>203489</xdr:colOff>
      <xdr:row>8</xdr:row>
      <xdr:rowOff>43295</xdr:rowOff>
    </xdr:to>
    <xdr:pic>
      <xdr:nvPicPr>
        <xdr:cNvPr id="53" name="bigpic" descr="stickers, autocollant signe astrologique scorpion"/>
        <xdr:cNvPicPr>
          <a:picLocks noChangeAspect="1" noChangeArrowheads="1"/>
        </xdr:cNvPicPr>
      </xdr:nvPicPr>
      <xdr:blipFill>
        <a:blip xmlns:r="http://schemas.openxmlformats.org/officeDocument/2006/relationships" r:embed="rId13" cstate="print">
          <a:duotone>
            <a:schemeClr val="accent1">
              <a:shade val="45000"/>
              <a:satMod val="135000"/>
            </a:schemeClr>
            <a:prstClr val="white"/>
          </a:duotone>
        </a:blip>
        <a:srcRect/>
        <a:stretch>
          <a:fillRect/>
        </a:stretch>
      </xdr:blipFill>
      <xdr:spPr bwMode="auto">
        <a:xfrm rot="20699406">
          <a:off x="7058026" y="1773382"/>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10</xdr:col>
      <xdr:colOff>401411</xdr:colOff>
      <xdr:row>7</xdr:row>
      <xdr:rowOff>340180</xdr:rowOff>
    </xdr:from>
    <xdr:to>
      <xdr:col>11</xdr:col>
      <xdr:colOff>728724</xdr:colOff>
      <xdr:row>10</xdr:row>
      <xdr:rowOff>170753</xdr:rowOff>
    </xdr:to>
    <xdr:pic>
      <xdr:nvPicPr>
        <xdr:cNvPr id="54" name="bigpic" descr="stickers, autocollant signe astrologique poisson"/>
        <xdr:cNvPicPr>
          <a:picLocks noChangeAspect="1" noChangeArrowheads="1"/>
        </xdr:cNvPicPr>
      </xdr:nvPicPr>
      <xdr:blipFill>
        <a:blip xmlns:r="http://schemas.openxmlformats.org/officeDocument/2006/relationships" r:embed="rId7" cstate="print">
          <a:duotone>
            <a:schemeClr val="accent1">
              <a:shade val="45000"/>
              <a:satMod val="135000"/>
            </a:schemeClr>
            <a:prstClr val="white"/>
          </a:duotone>
        </a:blip>
        <a:srcRect/>
        <a:stretch>
          <a:fillRect/>
        </a:stretch>
      </xdr:blipFill>
      <xdr:spPr bwMode="auto">
        <a:xfrm rot="20730930">
          <a:off x="8364311" y="2635705"/>
          <a:ext cx="1108363" cy="110692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9</xdr:col>
      <xdr:colOff>359228</xdr:colOff>
      <xdr:row>11</xdr:row>
      <xdr:rowOff>141887</xdr:rowOff>
    </xdr:from>
    <xdr:to>
      <xdr:col>10</xdr:col>
      <xdr:colOff>705591</xdr:colOff>
      <xdr:row>14</xdr:row>
      <xdr:rowOff>31050</xdr:rowOff>
    </xdr:to>
    <xdr:pic>
      <xdr:nvPicPr>
        <xdr:cNvPr id="55" name="bigpic" descr="stickers, autocollant signe astrologique vierge"/>
        <xdr:cNvPicPr>
          <a:picLocks noChangeAspect="1" noChangeArrowheads="1"/>
        </xdr:cNvPicPr>
      </xdr:nvPicPr>
      <xdr:blipFill>
        <a:blip xmlns:r="http://schemas.openxmlformats.org/officeDocument/2006/relationships" r:embed="rId11" cstate="print">
          <a:duotone>
            <a:schemeClr val="accent3">
              <a:shade val="45000"/>
              <a:satMod val="135000"/>
            </a:schemeClr>
            <a:prstClr val="white"/>
          </a:duotone>
        </a:blip>
        <a:srcRect/>
        <a:stretch>
          <a:fillRect/>
        </a:stretch>
      </xdr:blipFill>
      <xdr:spPr bwMode="auto">
        <a:xfrm rot="20699406">
          <a:off x="7560128" y="3913787"/>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12</xdr:col>
      <xdr:colOff>106286</xdr:colOff>
      <xdr:row>7</xdr:row>
      <xdr:rowOff>484267</xdr:rowOff>
    </xdr:from>
    <xdr:to>
      <xdr:col>13</xdr:col>
      <xdr:colOff>449626</xdr:colOff>
      <xdr:row>11</xdr:row>
      <xdr:rowOff>116255</xdr:rowOff>
    </xdr:to>
    <xdr:pic>
      <xdr:nvPicPr>
        <xdr:cNvPr id="56" name="bigpic" descr="stickers, autocollant signe astrologique cancer"/>
        <xdr:cNvPicPr>
          <a:picLocks noChangeAspect="1" noChangeArrowheads="1"/>
        </xdr:cNvPicPr>
      </xdr:nvPicPr>
      <xdr:blipFill>
        <a:blip xmlns:r="http://schemas.openxmlformats.org/officeDocument/2006/relationships" r:embed="rId12" cstate="print">
          <a:duotone>
            <a:schemeClr val="accent1">
              <a:shade val="45000"/>
              <a:satMod val="135000"/>
            </a:schemeClr>
            <a:prstClr val="white"/>
          </a:duotone>
        </a:blip>
        <a:srcRect/>
        <a:stretch>
          <a:fillRect/>
        </a:stretch>
      </xdr:blipFill>
      <xdr:spPr bwMode="auto">
        <a:xfrm rot="18049431">
          <a:off x="9591674" y="2781304"/>
          <a:ext cx="1108363" cy="110534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13</xdr:col>
      <xdr:colOff>483052</xdr:colOff>
      <xdr:row>7</xdr:row>
      <xdr:rowOff>239860</xdr:rowOff>
    </xdr:from>
    <xdr:to>
      <xdr:col>15</xdr:col>
      <xdr:colOff>48365</xdr:colOff>
      <xdr:row>10</xdr:row>
      <xdr:rowOff>71873</xdr:rowOff>
    </xdr:to>
    <xdr:pic>
      <xdr:nvPicPr>
        <xdr:cNvPr id="57" name="bigpic" descr="stickers, autocollant signe astrologique taureau"/>
        <xdr:cNvPicPr>
          <a:picLocks noChangeAspect="1" noChangeArrowheads="1"/>
        </xdr:cNvPicPr>
      </xdr:nvPicPr>
      <xdr:blipFill>
        <a:blip xmlns:r="http://schemas.openxmlformats.org/officeDocument/2006/relationships" r:embed="rId8" cstate="print">
          <a:duotone>
            <a:schemeClr val="accent3">
              <a:shade val="45000"/>
              <a:satMod val="135000"/>
            </a:schemeClr>
            <a:prstClr val="white"/>
          </a:duotone>
        </a:blip>
        <a:srcRect/>
        <a:stretch>
          <a:fillRect/>
        </a:stretch>
      </xdr:blipFill>
      <xdr:spPr bwMode="auto">
        <a:xfrm rot="20686627">
          <a:off x="10731952" y="2535385"/>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17</xdr:col>
      <xdr:colOff>107370</xdr:colOff>
      <xdr:row>10</xdr:row>
      <xdr:rowOff>7795</xdr:rowOff>
    </xdr:from>
    <xdr:to>
      <xdr:col>18</xdr:col>
      <xdr:colOff>453733</xdr:colOff>
      <xdr:row>13</xdr:row>
      <xdr:rowOff>171743</xdr:rowOff>
    </xdr:to>
    <xdr:pic>
      <xdr:nvPicPr>
        <xdr:cNvPr id="58" name="bigpic" descr="stickers, autocollant signe astrologique capricorne"/>
        <xdr:cNvPicPr>
          <a:picLocks noChangeAspect="1" noChangeArrowheads="1"/>
        </xdr:cNvPicPr>
      </xdr:nvPicPr>
      <xdr:blipFill>
        <a:blip xmlns:r="http://schemas.openxmlformats.org/officeDocument/2006/relationships" r:embed="rId9" cstate="print">
          <a:duotone>
            <a:schemeClr val="accent2">
              <a:shade val="45000"/>
              <a:satMod val="135000"/>
            </a:schemeClr>
            <a:prstClr val="white"/>
          </a:duotone>
        </a:blip>
        <a:srcRect/>
        <a:stretch>
          <a:fillRect/>
        </a:stretch>
      </xdr:blipFill>
      <xdr:spPr bwMode="auto">
        <a:xfrm rot="20579366">
          <a:off x="13404270" y="3579670"/>
          <a:ext cx="1108363" cy="110692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13</xdr:col>
      <xdr:colOff>702128</xdr:colOff>
      <xdr:row>9</xdr:row>
      <xdr:rowOff>522888</xdr:rowOff>
    </xdr:from>
    <xdr:to>
      <xdr:col>15</xdr:col>
      <xdr:colOff>267441</xdr:colOff>
      <xdr:row>13</xdr:row>
      <xdr:rowOff>154876</xdr:rowOff>
    </xdr:to>
    <xdr:pic>
      <xdr:nvPicPr>
        <xdr:cNvPr id="59" name="bigpic" descr="stickers, autocollant signe astrologique vierge"/>
        <xdr:cNvPicPr>
          <a:picLocks noChangeAspect="1" noChangeArrowheads="1"/>
        </xdr:cNvPicPr>
      </xdr:nvPicPr>
      <xdr:blipFill>
        <a:blip xmlns:r="http://schemas.openxmlformats.org/officeDocument/2006/relationships" r:embed="rId11" cstate="print">
          <a:duotone>
            <a:schemeClr val="accent3">
              <a:shade val="45000"/>
              <a:satMod val="135000"/>
            </a:schemeClr>
            <a:prstClr val="white"/>
          </a:duotone>
        </a:blip>
        <a:srcRect/>
        <a:stretch>
          <a:fillRect/>
        </a:stretch>
      </xdr:blipFill>
      <xdr:spPr bwMode="auto">
        <a:xfrm rot="20686627">
          <a:off x="10951028" y="3561363"/>
          <a:ext cx="1108363" cy="110836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15</xdr:col>
      <xdr:colOff>47623</xdr:colOff>
      <xdr:row>5</xdr:row>
      <xdr:rowOff>200028</xdr:rowOff>
    </xdr:from>
    <xdr:to>
      <xdr:col>16</xdr:col>
      <xdr:colOff>393986</xdr:colOff>
      <xdr:row>7</xdr:row>
      <xdr:rowOff>533843</xdr:rowOff>
    </xdr:to>
    <xdr:pic>
      <xdr:nvPicPr>
        <xdr:cNvPr id="60" name="bigpic" descr="stickers, autocollant signe astrologique gémeaux"/>
        <xdr:cNvPicPr>
          <a:picLocks noChangeAspect="1" noChangeArrowheads="1"/>
        </xdr:cNvPicPr>
      </xdr:nvPicPr>
      <xdr:blipFill>
        <a:blip xmlns:r="http://schemas.openxmlformats.org/officeDocument/2006/relationships" r:embed="rId14" cstate="print">
          <a:duotone>
            <a:schemeClr val="accent6">
              <a:shade val="45000"/>
              <a:satMod val="135000"/>
            </a:schemeClr>
            <a:prstClr val="white"/>
          </a:duotone>
        </a:blip>
        <a:srcRect/>
        <a:stretch>
          <a:fillRect/>
        </a:stretch>
      </xdr:blipFill>
      <xdr:spPr bwMode="auto">
        <a:xfrm rot="20579366">
          <a:off x="11820523" y="1724028"/>
          <a:ext cx="1108363" cy="110534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28577</xdr:colOff>
      <xdr:row>8</xdr:row>
      <xdr:rowOff>169719</xdr:rowOff>
    </xdr:from>
    <xdr:to>
      <xdr:col>2</xdr:col>
      <xdr:colOff>552450</xdr:colOff>
      <xdr:row>9</xdr:row>
      <xdr:rowOff>492138</xdr:rowOff>
    </xdr:to>
    <xdr:pic>
      <xdr:nvPicPr>
        <xdr:cNvPr id="61" name="bigpic" descr="stickers, autocollant signe astrologique bélier"/>
        <xdr:cNvPicPr>
          <a:picLocks noChangeAspect="1" noChangeArrowheads="1"/>
        </xdr:cNvPicPr>
      </xdr:nvPicPr>
      <xdr:blipFill>
        <a:blip xmlns:r="http://schemas.openxmlformats.org/officeDocument/2006/relationships" r:embed="rId15" cstate="print">
          <a:duotone>
            <a:schemeClr val="accent3">
              <a:shade val="45000"/>
              <a:satMod val="135000"/>
            </a:schemeClr>
            <a:prstClr val="white"/>
          </a:duotone>
        </a:blip>
        <a:srcRect/>
        <a:stretch>
          <a:fillRect/>
        </a:stretch>
      </xdr:blipFill>
      <xdr:spPr bwMode="auto">
        <a:xfrm>
          <a:off x="1724027" y="2998644"/>
          <a:ext cx="523873" cy="522444"/>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0</xdr:col>
      <xdr:colOff>19052</xdr:colOff>
      <xdr:row>7</xdr:row>
      <xdr:rowOff>9527</xdr:rowOff>
    </xdr:from>
    <xdr:to>
      <xdr:col>0</xdr:col>
      <xdr:colOff>542925</xdr:colOff>
      <xdr:row>7</xdr:row>
      <xdr:rowOff>533400</xdr:rowOff>
    </xdr:to>
    <xdr:pic>
      <xdr:nvPicPr>
        <xdr:cNvPr id="62" name="bigpic" descr="stickers, autocollant signe astrologique lion"/>
        <xdr:cNvPicPr>
          <a:picLocks noChangeAspect="1" noChangeArrowheads="1"/>
        </xdr:cNvPicPr>
      </xdr:nvPicPr>
      <xdr:blipFill>
        <a:blip xmlns:r="http://schemas.openxmlformats.org/officeDocument/2006/relationships" r:embed="rId16" cstate="print">
          <a:duotone>
            <a:schemeClr val="accent2">
              <a:shade val="45000"/>
              <a:satMod val="135000"/>
            </a:schemeClr>
            <a:prstClr val="white"/>
          </a:duotone>
        </a:blip>
        <a:srcRect/>
        <a:stretch>
          <a:fillRect/>
        </a:stretch>
      </xdr:blipFill>
      <xdr:spPr bwMode="auto">
        <a:xfrm>
          <a:off x="19052" y="2295527"/>
          <a:ext cx="523873" cy="52387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16332</xdr:colOff>
      <xdr:row>7</xdr:row>
      <xdr:rowOff>9527</xdr:rowOff>
    </xdr:from>
    <xdr:to>
      <xdr:col>2</xdr:col>
      <xdr:colOff>540205</xdr:colOff>
      <xdr:row>7</xdr:row>
      <xdr:rowOff>533400</xdr:rowOff>
    </xdr:to>
    <xdr:pic>
      <xdr:nvPicPr>
        <xdr:cNvPr id="63" name="bigpic" descr="stickers, autocollant signe astrologique taureau"/>
        <xdr:cNvPicPr>
          <a:picLocks noChangeAspect="1" noChangeArrowheads="1"/>
        </xdr:cNvPicPr>
      </xdr:nvPicPr>
      <xdr:blipFill>
        <a:blip xmlns:r="http://schemas.openxmlformats.org/officeDocument/2006/relationships" r:embed="rId17" cstate="print">
          <a:duotone>
            <a:schemeClr val="accent3">
              <a:shade val="45000"/>
              <a:satMod val="135000"/>
            </a:schemeClr>
            <a:prstClr val="white"/>
          </a:duotone>
        </a:blip>
        <a:srcRect/>
        <a:stretch>
          <a:fillRect/>
        </a:stretch>
      </xdr:blipFill>
      <xdr:spPr bwMode="auto">
        <a:xfrm>
          <a:off x="1711782" y="2295527"/>
          <a:ext cx="523873" cy="52387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0</xdr:col>
      <xdr:colOff>11644</xdr:colOff>
      <xdr:row>9</xdr:row>
      <xdr:rowOff>19678</xdr:rowOff>
    </xdr:from>
    <xdr:to>
      <xdr:col>0</xdr:col>
      <xdr:colOff>535517</xdr:colOff>
      <xdr:row>10</xdr:row>
      <xdr:rowOff>9471</xdr:rowOff>
    </xdr:to>
    <xdr:pic>
      <xdr:nvPicPr>
        <xdr:cNvPr id="64" name="bigpic" descr="stickers, autocollant signe astrologique capricorne"/>
        <xdr:cNvPicPr>
          <a:picLocks noChangeAspect="1" noChangeArrowheads="1"/>
        </xdr:cNvPicPr>
      </xdr:nvPicPr>
      <xdr:blipFill>
        <a:blip xmlns:r="http://schemas.openxmlformats.org/officeDocument/2006/relationships" r:embed="rId18" cstate="print">
          <a:duotone>
            <a:schemeClr val="accent2">
              <a:shade val="45000"/>
              <a:satMod val="135000"/>
            </a:schemeClr>
            <a:prstClr val="white"/>
          </a:duotone>
        </a:blip>
        <a:srcRect/>
        <a:stretch>
          <a:fillRect/>
        </a:stretch>
      </xdr:blipFill>
      <xdr:spPr bwMode="auto">
        <a:xfrm>
          <a:off x="11644" y="3229603"/>
          <a:ext cx="523873" cy="52319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0</xdr:col>
      <xdr:colOff>38100</xdr:colOff>
      <xdr:row>11</xdr:row>
      <xdr:rowOff>18678</xdr:rowOff>
    </xdr:from>
    <xdr:to>
      <xdr:col>0</xdr:col>
      <xdr:colOff>561973</xdr:colOff>
      <xdr:row>11</xdr:row>
      <xdr:rowOff>541871</xdr:rowOff>
    </xdr:to>
    <xdr:pic>
      <xdr:nvPicPr>
        <xdr:cNvPr id="65" name="bigpic" descr="stickers, autocollant signe astrologique balance"/>
        <xdr:cNvPicPr>
          <a:picLocks noChangeAspect="1" noChangeArrowheads="1"/>
        </xdr:cNvPicPr>
      </xdr:nvPicPr>
      <xdr:blipFill>
        <a:blip xmlns:r="http://schemas.openxmlformats.org/officeDocument/2006/relationships" r:embed="rId19" cstate="print">
          <a:duotone>
            <a:schemeClr val="accent6">
              <a:shade val="45000"/>
              <a:satMod val="135000"/>
            </a:schemeClr>
            <a:prstClr val="white"/>
          </a:duotone>
        </a:blip>
        <a:srcRect/>
        <a:stretch>
          <a:fillRect/>
        </a:stretch>
      </xdr:blipFill>
      <xdr:spPr bwMode="auto">
        <a:xfrm>
          <a:off x="38100" y="3762003"/>
          <a:ext cx="523873" cy="52319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0</xdr:col>
      <xdr:colOff>19051</xdr:colOff>
      <xdr:row>12</xdr:row>
      <xdr:rowOff>161927</xdr:rowOff>
    </xdr:from>
    <xdr:to>
      <xdr:col>0</xdr:col>
      <xdr:colOff>542924</xdr:colOff>
      <xdr:row>14</xdr:row>
      <xdr:rowOff>9525</xdr:rowOff>
    </xdr:to>
    <xdr:pic>
      <xdr:nvPicPr>
        <xdr:cNvPr id="66" name="bigpic" descr="stickers, autocollant signe astrologique verseau"/>
        <xdr:cNvPicPr>
          <a:picLocks noChangeAspect="1" noChangeArrowheads="1"/>
        </xdr:cNvPicPr>
      </xdr:nvPicPr>
      <xdr:blipFill>
        <a:blip xmlns:r="http://schemas.openxmlformats.org/officeDocument/2006/relationships" r:embed="rId20" cstate="print">
          <a:duotone>
            <a:schemeClr val="accent6">
              <a:shade val="45000"/>
              <a:satMod val="135000"/>
            </a:schemeClr>
            <a:prstClr val="white"/>
          </a:duotone>
        </a:blip>
        <a:srcRect/>
        <a:stretch>
          <a:fillRect/>
        </a:stretch>
      </xdr:blipFill>
      <xdr:spPr bwMode="auto">
        <a:xfrm>
          <a:off x="19051" y="4448177"/>
          <a:ext cx="523873" cy="52387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22448</xdr:colOff>
      <xdr:row>11</xdr:row>
      <xdr:rowOff>35093</xdr:rowOff>
    </xdr:from>
    <xdr:to>
      <xdr:col>2</xdr:col>
      <xdr:colOff>546321</xdr:colOff>
      <xdr:row>12</xdr:row>
      <xdr:rowOff>14612</xdr:rowOff>
    </xdr:to>
    <xdr:pic>
      <xdr:nvPicPr>
        <xdr:cNvPr id="67" name="bigpic" descr="stickers, autocollant signe astrologique cancer"/>
        <xdr:cNvPicPr>
          <a:picLocks noChangeAspect="1" noChangeArrowheads="1"/>
        </xdr:cNvPicPr>
      </xdr:nvPicPr>
      <xdr:blipFill>
        <a:blip xmlns:r="http://schemas.openxmlformats.org/officeDocument/2006/relationships" r:embed="rId21" cstate="print">
          <a:duotone>
            <a:schemeClr val="accent1">
              <a:shade val="45000"/>
              <a:satMod val="135000"/>
            </a:schemeClr>
            <a:prstClr val="white"/>
          </a:duotone>
        </a:blip>
        <a:srcRect/>
        <a:stretch>
          <a:fillRect/>
        </a:stretch>
      </xdr:blipFill>
      <xdr:spPr bwMode="auto">
        <a:xfrm rot="18962804">
          <a:off x="1717898" y="3778418"/>
          <a:ext cx="523873" cy="522444"/>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0</xdr:col>
      <xdr:colOff>38100</xdr:colOff>
      <xdr:row>5</xdr:row>
      <xdr:rowOff>9527</xdr:rowOff>
    </xdr:from>
    <xdr:to>
      <xdr:col>0</xdr:col>
      <xdr:colOff>561973</xdr:colOff>
      <xdr:row>5</xdr:row>
      <xdr:rowOff>533400</xdr:rowOff>
    </xdr:to>
    <xdr:pic>
      <xdr:nvPicPr>
        <xdr:cNvPr id="68" name="bigpic" descr="stickers, autocollant signe astrologique sagittaire"/>
        <xdr:cNvPicPr>
          <a:picLocks noChangeAspect="1" noChangeArrowheads="1"/>
        </xdr:cNvPicPr>
      </xdr:nvPicPr>
      <xdr:blipFill>
        <a:blip xmlns:r="http://schemas.openxmlformats.org/officeDocument/2006/relationships" r:embed="rId22" cstate="print">
          <a:duotone>
            <a:schemeClr val="accent2">
              <a:shade val="45000"/>
              <a:satMod val="135000"/>
            </a:schemeClr>
            <a:prstClr val="white"/>
          </a:duotone>
        </a:blip>
        <a:srcRect/>
        <a:stretch>
          <a:fillRect/>
        </a:stretch>
      </xdr:blipFill>
      <xdr:spPr bwMode="auto">
        <a:xfrm>
          <a:off x="38100" y="1524002"/>
          <a:ext cx="523873" cy="52387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57154</xdr:colOff>
      <xdr:row>13</xdr:row>
      <xdr:rowOff>0</xdr:rowOff>
    </xdr:from>
    <xdr:to>
      <xdr:col>3</xdr:col>
      <xdr:colOff>2</xdr:colOff>
      <xdr:row>14</xdr:row>
      <xdr:rowOff>47623</xdr:rowOff>
    </xdr:to>
    <xdr:pic>
      <xdr:nvPicPr>
        <xdr:cNvPr id="69" name="bigpic" descr="stickers, autocollant signe astrologique scorpion"/>
        <xdr:cNvPicPr>
          <a:picLocks noChangeAspect="1" noChangeArrowheads="1"/>
        </xdr:cNvPicPr>
      </xdr:nvPicPr>
      <xdr:blipFill>
        <a:blip xmlns:r="http://schemas.openxmlformats.org/officeDocument/2006/relationships" r:embed="rId23" cstate="print">
          <a:duotone>
            <a:schemeClr val="accent1">
              <a:shade val="45000"/>
              <a:satMod val="135000"/>
            </a:schemeClr>
            <a:prstClr val="white"/>
          </a:duotone>
        </a:blip>
        <a:srcRect/>
        <a:stretch>
          <a:fillRect/>
        </a:stretch>
      </xdr:blipFill>
      <xdr:spPr bwMode="auto">
        <a:xfrm>
          <a:off x="1752604" y="4476750"/>
          <a:ext cx="523873" cy="52387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24904</xdr:colOff>
      <xdr:row>15</xdr:row>
      <xdr:rowOff>24090</xdr:rowOff>
    </xdr:from>
    <xdr:to>
      <xdr:col>2</xdr:col>
      <xdr:colOff>548777</xdr:colOff>
      <xdr:row>16</xdr:row>
      <xdr:rowOff>32933</xdr:rowOff>
    </xdr:to>
    <xdr:pic>
      <xdr:nvPicPr>
        <xdr:cNvPr id="70" name="bigpic" descr="stickers, autocollant signe astrologique poisson"/>
        <xdr:cNvPicPr>
          <a:picLocks noChangeAspect="1" noChangeArrowheads="1"/>
        </xdr:cNvPicPr>
      </xdr:nvPicPr>
      <xdr:blipFill>
        <a:blip xmlns:r="http://schemas.openxmlformats.org/officeDocument/2006/relationships" r:embed="rId24" cstate="print">
          <a:duotone>
            <a:schemeClr val="accent1">
              <a:shade val="45000"/>
              <a:satMod val="135000"/>
            </a:schemeClr>
            <a:prstClr val="white"/>
          </a:duotone>
        </a:blip>
        <a:srcRect/>
        <a:stretch>
          <a:fillRect/>
        </a:stretch>
      </xdr:blipFill>
      <xdr:spPr bwMode="auto">
        <a:xfrm>
          <a:off x="1720354" y="5205690"/>
          <a:ext cx="523873" cy="52319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xdr:col>
      <xdr:colOff>16331</xdr:colOff>
      <xdr:row>5</xdr:row>
      <xdr:rowOff>25855</xdr:rowOff>
    </xdr:from>
    <xdr:to>
      <xdr:col>2</xdr:col>
      <xdr:colOff>540204</xdr:colOff>
      <xdr:row>5</xdr:row>
      <xdr:rowOff>549728</xdr:rowOff>
    </xdr:to>
    <xdr:pic>
      <xdr:nvPicPr>
        <xdr:cNvPr id="71" name="bigpic" descr="stickers, autocollant signe astrologique vierge"/>
        <xdr:cNvPicPr>
          <a:picLocks noChangeAspect="1" noChangeArrowheads="1"/>
        </xdr:cNvPicPr>
      </xdr:nvPicPr>
      <xdr:blipFill>
        <a:blip xmlns:r="http://schemas.openxmlformats.org/officeDocument/2006/relationships" r:embed="rId25" cstate="print">
          <a:duotone>
            <a:schemeClr val="accent3">
              <a:shade val="45000"/>
              <a:satMod val="135000"/>
            </a:schemeClr>
            <a:prstClr val="white"/>
          </a:duotone>
        </a:blip>
        <a:srcRect/>
        <a:stretch>
          <a:fillRect/>
        </a:stretch>
      </xdr:blipFill>
      <xdr:spPr bwMode="auto">
        <a:xfrm>
          <a:off x="1711781" y="1549855"/>
          <a:ext cx="523873" cy="52387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0</xdr:col>
      <xdr:colOff>28576</xdr:colOff>
      <xdr:row>15</xdr:row>
      <xdr:rowOff>36370</xdr:rowOff>
    </xdr:from>
    <xdr:to>
      <xdr:col>0</xdr:col>
      <xdr:colOff>552449</xdr:colOff>
      <xdr:row>16</xdr:row>
      <xdr:rowOff>44464</xdr:rowOff>
    </xdr:to>
    <xdr:pic>
      <xdr:nvPicPr>
        <xdr:cNvPr id="72" name="bigpic" descr="stickers, autocollant signe astrologique gémeaux"/>
        <xdr:cNvPicPr>
          <a:picLocks noChangeAspect="1" noChangeArrowheads="1"/>
        </xdr:cNvPicPr>
      </xdr:nvPicPr>
      <xdr:blipFill>
        <a:blip xmlns:r="http://schemas.openxmlformats.org/officeDocument/2006/relationships" r:embed="rId26" cstate="print">
          <a:duotone>
            <a:schemeClr val="accent6">
              <a:shade val="45000"/>
              <a:satMod val="135000"/>
            </a:schemeClr>
            <a:prstClr val="white"/>
          </a:duotone>
        </a:blip>
        <a:srcRect/>
        <a:stretch>
          <a:fillRect/>
        </a:stretch>
      </xdr:blipFill>
      <xdr:spPr bwMode="auto">
        <a:xfrm>
          <a:off x="28576" y="5217970"/>
          <a:ext cx="523873" cy="522444"/>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18</xdr:col>
      <xdr:colOff>161925</xdr:colOff>
      <xdr:row>0</xdr:row>
      <xdr:rowOff>38100</xdr:rowOff>
    </xdr:from>
    <xdr:to>
      <xdr:col>18</xdr:col>
      <xdr:colOff>647698</xdr:colOff>
      <xdr:row>0</xdr:row>
      <xdr:rowOff>552450</xdr:rowOff>
    </xdr:to>
    <xdr:sp macro="[0]!FERMASTRO" textlink="">
      <xdr:nvSpPr>
        <xdr:cNvPr id="73" name="Flèche droite rayée 72"/>
        <xdr:cNvSpPr/>
      </xdr:nvSpPr>
      <xdr:spPr>
        <a:xfrm>
          <a:off x="14297025" y="38100"/>
          <a:ext cx="485773" cy="514350"/>
        </a:xfrm>
        <a:prstGeom prst="stripedRightArrow">
          <a:avLst/>
        </a:prstGeom>
        <a:ln/>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0</xdr:col>
      <xdr:colOff>38100</xdr:colOff>
      <xdr:row>17</xdr:row>
      <xdr:rowOff>47625</xdr:rowOff>
    </xdr:from>
    <xdr:to>
      <xdr:col>18</xdr:col>
      <xdr:colOff>685800</xdr:colOff>
      <xdr:row>17</xdr:row>
      <xdr:rowOff>142875</xdr:rowOff>
    </xdr:to>
    <xdr:sp macro="[0]!VersThemeAstral_PageSA" textlink="">
      <xdr:nvSpPr>
        <xdr:cNvPr id="78" name="Rectangle 77"/>
        <xdr:cNvSpPr/>
      </xdr:nvSpPr>
      <xdr:spPr>
        <a:xfrm>
          <a:off x="38100" y="5934075"/>
          <a:ext cx="14782800" cy="952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19050</xdr:colOff>
      <xdr:row>0</xdr:row>
      <xdr:rowOff>19050</xdr:rowOff>
    </xdr:from>
    <xdr:to>
      <xdr:col>0</xdr:col>
      <xdr:colOff>506095</xdr:colOff>
      <xdr:row>0</xdr:row>
      <xdr:rowOff>191799</xdr:rowOff>
    </xdr:to>
    <xdr:sp macro="" textlink="">
      <xdr:nvSpPr>
        <xdr:cNvPr id="3" name="Rectangle à coins arrondis 2"/>
        <xdr:cNvSpPr/>
      </xdr:nvSpPr>
      <xdr:spPr>
        <a:xfrm>
          <a:off x="19050" y="1905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3</xdr:col>
      <xdr:colOff>19050</xdr:colOff>
      <xdr:row>0</xdr:row>
      <xdr:rowOff>19050</xdr:rowOff>
    </xdr:from>
    <xdr:to>
      <xdr:col>3</xdr:col>
      <xdr:colOff>828675</xdr:colOff>
      <xdr:row>0</xdr:row>
      <xdr:rowOff>209550</xdr:rowOff>
    </xdr:to>
    <xdr:sp macro="[0]!RETOURSigneAstro" textlink="">
      <xdr:nvSpPr>
        <xdr:cNvPr id="4" name="Rectangle 3"/>
        <xdr:cNvSpPr/>
      </xdr:nvSpPr>
      <xdr:spPr>
        <a:xfrm>
          <a:off x="8429625" y="19050"/>
          <a:ext cx="809625" cy="1905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109149</xdr:colOff>
      <xdr:row>4</xdr:row>
      <xdr:rowOff>314330</xdr:rowOff>
    </xdr:from>
    <xdr:to>
      <xdr:col>18</xdr:col>
      <xdr:colOff>347274</xdr:colOff>
      <xdr:row>13</xdr:row>
      <xdr:rowOff>381005</xdr:rowOff>
    </xdr:to>
    <xdr:sp macro="" textlink="">
      <xdr:nvSpPr>
        <xdr:cNvPr id="7" name="Rectangle à coins arrondis 6"/>
        <xdr:cNvSpPr/>
      </xdr:nvSpPr>
      <xdr:spPr>
        <a:xfrm rot="20662673">
          <a:off x="11939199" y="1457330"/>
          <a:ext cx="2543175" cy="3429000"/>
        </a:xfrm>
        <a:prstGeom prst="roundRect">
          <a:avLst/>
        </a:prstGeom>
        <a:blipFill>
          <a:blip xmlns:r="http://schemas.openxmlformats.org/officeDocument/2006/relationships" r:embed="rId1" cstate="print"/>
          <a:tile tx="0" ty="0" sx="100000" sy="100000" flip="none" algn="tl"/>
        </a:blipFill>
        <a:effectLst>
          <a:glow rad="228600">
            <a:schemeClr val="accent6">
              <a:satMod val="175000"/>
              <a:alpha val="40000"/>
            </a:schemeClr>
          </a:glow>
          <a:outerShdw blurRad="40000" dist="20000" dir="5400000" rotWithShape="0">
            <a:srgbClr val="000000">
              <a:alpha val="38000"/>
            </a:srgbClr>
          </a:outerShdw>
        </a:effectLst>
      </xdr:spPr>
      <xdr:style>
        <a:lnRef idx="3">
          <a:schemeClr val="lt1"/>
        </a:lnRef>
        <a:fillRef idx="1003">
          <a:schemeClr val="lt2"/>
        </a:fillRef>
        <a:effectRef idx="1">
          <a:schemeClr val="accent5"/>
        </a:effectRef>
        <a:fontRef idx="minor">
          <a:schemeClr val="lt1"/>
        </a:fontRef>
      </xdr:style>
      <xdr:txBody>
        <a:bodyPr vertOverflow="clip" rtlCol="0" anchor="ctr"/>
        <a:lstStyle/>
        <a:p>
          <a:pPr algn="ctr"/>
          <a:endParaRPr lang="fr-FR" sz="1100"/>
        </a:p>
      </xdr:txBody>
    </xdr:sp>
    <xdr:clientData/>
  </xdr:twoCellAnchor>
  <xdr:twoCellAnchor>
    <xdr:from>
      <xdr:col>12</xdr:col>
      <xdr:colOff>76198</xdr:colOff>
      <xdr:row>4</xdr:row>
      <xdr:rowOff>238129</xdr:rowOff>
    </xdr:from>
    <xdr:to>
      <xdr:col>15</xdr:col>
      <xdr:colOff>314323</xdr:colOff>
      <xdr:row>13</xdr:row>
      <xdr:rowOff>304804</xdr:rowOff>
    </xdr:to>
    <xdr:sp macro="" textlink="">
      <xdr:nvSpPr>
        <xdr:cNvPr id="8" name="Rectangle à coins arrondis 7"/>
        <xdr:cNvSpPr/>
      </xdr:nvSpPr>
      <xdr:spPr>
        <a:xfrm rot="20662673">
          <a:off x="9601198" y="1381129"/>
          <a:ext cx="2543175" cy="3429000"/>
        </a:xfrm>
        <a:prstGeom prst="roundRect">
          <a:avLst/>
        </a:prstGeom>
        <a:blipFill>
          <a:blip xmlns:r="http://schemas.openxmlformats.org/officeDocument/2006/relationships" r:embed="rId1" cstate="print"/>
          <a:tile tx="0" ty="0" sx="100000" sy="100000" flip="none" algn="tl"/>
        </a:blipFill>
        <a:effectLst>
          <a:glow rad="228600">
            <a:schemeClr val="accent6">
              <a:satMod val="175000"/>
              <a:alpha val="40000"/>
            </a:schemeClr>
          </a:glow>
          <a:outerShdw blurRad="40000" dist="20000" dir="5400000" rotWithShape="0">
            <a:srgbClr val="000000">
              <a:alpha val="38000"/>
            </a:srgbClr>
          </a:outerShdw>
        </a:effectLst>
      </xdr:spPr>
      <xdr:style>
        <a:lnRef idx="3">
          <a:schemeClr val="lt1"/>
        </a:lnRef>
        <a:fillRef idx="1003">
          <a:schemeClr val="lt2"/>
        </a:fillRef>
        <a:effectRef idx="1">
          <a:schemeClr val="accent2"/>
        </a:effectRef>
        <a:fontRef idx="minor">
          <a:schemeClr val="lt1"/>
        </a:fontRef>
      </xdr:style>
      <xdr:txBody>
        <a:bodyPr vertOverflow="clip" rtlCol="0" anchor="ctr"/>
        <a:lstStyle/>
        <a:p>
          <a:pPr algn="ctr"/>
          <a:endParaRPr lang="fr-FR" sz="1100"/>
        </a:p>
      </xdr:txBody>
    </xdr:sp>
    <xdr:clientData/>
  </xdr:twoCellAnchor>
  <xdr:twoCellAnchor>
    <xdr:from>
      <xdr:col>9</xdr:col>
      <xdr:colOff>104772</xdr:colOff>
      <xdr:row>4</xdr:row>
      <xdr:rowOff>276225</xdr:rowOff>
    </xdr:from>
    <xdr:to>
      <xdr:col>12</xdr:col>
      <xdr:colOff>342897</xdr:colOff>
      <xdr:row>13</xdr:row>
      <xdr:rowOff>333378</xdr:rowOff>
    </xdr:to>
    <xdr:sp macro="" textlink="">
      <xdr:nvSpPr>
        <xdr:cNvPr id="9" name="Rectangle à coins arrondis 8"/>
        <xdr:cNvSpPr/>
      </xdr:nvSpPr>
      <xdr:spPr>
        <a:xfrm rot="20662673">
          <a:off x="7324722" y="1419225"/>
          <a:ext cx="2543175" cy="3419478"/>
        </a:xfrm>
        <a:prstGeom prst="roundRect">
          <a:avLst/>
        </a:prstGeom>
        <a:blipFill>
          <a:blip xmlns:r="http://schemas.openxmlformats.org/officeDocument/2006/relationships" r:embed="rId1" cstate="print"/>
          <a:tile tx="0" ty="0" sx="100000" sy="100000" flip="none" algn="tl"/>
        </a:blipFill>
        <a:effectLst>
          <a:glow rad="228600">
            <a:schemeClr val="accent6">
              <a:satMod val="175000"/>
              <a:alpha val="40000"/>
            </a:schemeClr>
          </a:glow>
          <a:outerShdw blurRad="40000" dist="20000" dir="5400000" rotWithShape="0">
            <a:srgbClr val="000000">
              <a:alpha val="38000"/>
            </a:srgbClr>
          </a:outerShdw>
        </a:effectLst>
      </xdr:spPr>
      <xdr:style>
        <a:lnRef idx="3">
          <a:schemeClr val="lt1"/>
        </a:lnRef>
        <a:fillRef idx="1003">
          <a:schemeClr val="lt2"/>
        </a:fillRef>
        <a:effectRef idx="1">
          <a:schemeClr val="accent3"/>
        </a:effectRef>
        <a:fontRef idx="minor">
          <a:schemeClr val="lt1"/>
        </a:fontRef>
      </xdr:style>
      <xdr:txBody>
        <a:bodyPr vertOverflow="clip" rtlCol="0" anchor="ctr"/>
        <a:lstStyle/>
        <a:p>
          <a:pPr algn="ctr"/>
          <a:endParaRPr lang="fr-FR" sz="1100"/>
        </a:p>
      </xdr:txBody>
    </xdr:sp>
    <xdr:clientData/>
  </xdr:twoCellAnchor>
  <xdr:twoCellAnchor>
    <xdr:from>
      <xdr:col>6</xdr:col>
      <xdr:colOff>28574</xdr:colOff>
      <xdr:row>4</xdr:row>
      <xdr:rowOff>358375</xdr:rowOff>
    </xdr:from>
    <xdr:to>
      <xdr:col>9</xdr:col>
      <xdr:colOff>266699</xdr:colOff>
      <xdr:row>13</xdr:row>
      <xdr:rowOff>386954</xdr:rowOff>
    </xdr:to>
    <xdr:sp macro="" textlink="">
      <xdr:nvSpPr>
        <xdr:cNvPr id="10" name="Rectangle à coins arrondis 9"/>
        <xdr:cNvSpPr/>
      </xdr:nvSpPr>
      <xdr:spPr>
        <a:xfrm rot="20662673">
          <a:off x="4943474" y="1501375"/>
          <a:ext cx="2543175" cy="3390904"/>
        </a:xfrm>
        <a:prstGeom prst="roundRect">
          <a:avLst/>
        </a:prstGeom>
        <a:blipFill>
          <a:blip xmlns:r="http://schemas.openxmlformats.org/officeDocument/2006/relationships" r:embed="rId1" cstate="print"/>
          <a:tile tx="0" ty="0" sx="100000" sy="100000" flip="none" algn="tl"/>
        </a:blipFill>
        <a:effectLst>
          <a:glow rad="228600">
            <a:schemeClr val="accent6">
              <a:satMod val="175000"/>
              <a:alpha val="40000"/>
            </a:schemeClr>
          </a:glow>
          <a:outerShdw blurRad="40000" dist="20000" dir="5400000" rotWithShape="0">
            <a:srgbClr val="000000">
              <a:alpha val="38000"/>
            </a:srgbClr>
          </a:outerShdw>
        </a:effectLst>
      </xdr:spPr>
      <xdr:style>
        <a:lnRef idx="3">
          <a:schemeClr val="lt1"/>
        </a:lnRef>
        <a:fillRef idx="1003">
          <a:schemeClr val="lt2"/>
        </a:fillRef>
        <a:effectRef idx="1">
          <a:schemeClr val="accent4"/>
        </a:effectRef>
        <a:fontRef idx="minor">
          <a:schemeClr val="lt1"/>
        </a:fontRef>
      </xdr:style>
      <xdr:txBody>
        <a:bodyPr vertOverflow="clip" rtlCol="0" anchor="ctr"/>
        <a:lstStyle/>
        <a:p>
          <a:pPr algn="ctr"/>
          <a:endParaRPr lang="fr-FR" sz="1100"/>
        </a:p>
      </xdr:txBody>
    </xdr:sp>
    <xdr:clientData/>
  </xdr:twoCellAnchor>
  <xdr:twoCellAnchor>
    <xdr:from>
      <xdr:col>18</xdr:col>
      <xdr:colOff>161925</xdr:colOff>
      <xdr:row>0</xdr:row>
      <xdr:rowOff>38100</xdr:rowOff>
    </xdr:from>
    <xdr:to>
      <xdr:col>18</xdr:col>
      <xdr:colOff>647698</xdr:colOff>
      <xdr:row>0</xdr:row>
      <xdr:rowOff>552450</xdr:rowOff>
    </xdr:to>
    <xdr:sp macro="[0]!FERMASTROCHINOIS" textlink="">
      <xdr:nvSpPr>
        <xdr:cNvPr id="47" name="Flèche droite rayée 46"/>
        <xdr:cNvSpPr/>
      </xdr:nvSpPr>
      <xdr:spPr>
        <a:xfrm>
          <a:off x="14297025" y="38100"/>
          <a:ext cx="485773" cy="514350"/>
        </a:xfrm>
        <a:prstGeom prst="stripedRightArrow">
          <a:avLst/>
        </a:prstGeom>
        <a:ln/>
      </xdr:spPr>
      <xdr:style>
        <a:lnRef idx="0">
          <a:schemeClr val="dk1"/>
        </a:lnRef>
        <a:fillRef idx="3">
          <a:schemeClr val="dk1"/>
        </a:fillRef>
        <a:effectRef idx="3">
          <a:schemeClr val="dk1"/>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editAs="oneCell">
    <xdr:from>
      <xdr:col>4</xdr:col>
      <xdr:colOff>102956</xdr:colOff>
      <xdr:row>13</xdr:row>
      <xdr:rowOff>104774</xdr:rowOff>
    </xdr:from>
    <xdr:to>
      <xdr:col>6</xdr:col>
      <xdr:colOff>114427</xdr:colOff>
      <xdr:row>16</xdr:row>
      <xdr:rowOff>161922</xdr:rowOff>
    </xdr:to>
    <xdr:pic macro="[0]!RAZSIGNEASTROCHINOIS">
      <xdr:nvPicPr>
        <xdr:cNvPr id="50" name="Image 49" descr="76c96f87f28f822c459e1468ca36edf6.jpg"/>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blip>
        <a:stretch>
          <a:fillRect/>
        </a:stretch>
      </xdr:blipFill>
      <xdr:spPr>
        <a:xfrm>
          <a:off x="3493856" y="4610099"/>
          <a:ext cx="1535471" cy="1247773"/>
        </a:xfrm>
        <a:prstGeom prst="rect">
          <a:avLst/>
        </a:prstGeom>
      </xdr:spPr>
    </xdr:pic>
    <xdr:clientData/>
  </xdr:twoCellAnchor>
  <xdr:twoCellAnchor editAs="oneCell">
    <xdr:from>
      <xdr:col>2</xdr:col>
      <xdr:colOff>28575</xdr:colOff>
      <xdr:row>13</xdr:row>
      <xdr:rowOff>23812</xdr:rowOff>
    </xdr:from>
    <xdr:to>
      <xdr:col>2</xdr:col>
      <xdr:colOff>561974</xdr:colOff>
      <xdr:row>13</xdr:row>
      <xdr:rowOff>476249</xdr:rowOff>
    </xdr:to>
    <xdr:pic>
      <xdr:nvPicPr>
        <xdr:cNvPr id="53" name="Image 52" descr="480x306ximage.jpg.pagespeed.ic.Vp-Vwbq8b2.jpg"/>
        <xdr:cNvPicPr>
          <a:picLocks noChangeAspect="1"/>
        </xdr:cNvPicPr>
      </xdr:nvPicPr>
      <xdr:blipFill>
        <a:blip xmlns:r="http://schemas.openxmlformats.org/officeDocument/2006/relationships" r:embed="rId3" cstate="print">
          <a:clrChange>
            <a:clrFrom>
              <a:srgbClr val="FFFDFF"/>
            </a:clrFrom>
            <a:clrTo>
              <a:srgbClr val="FFFDFF">
                <a:alpha val="0"/>
              </a:srgbClr>
            </a:clrTo>
          </a:clrChange>
        </a:blip>
        <a:srcRect l="75625" t="67647" r="1042" b="1307"/>
        <a:stretch>
          <a:fillRect/>
        </a:stretch>
      </xdr:blipFill>
      <xdr:spPr>
        <a:xfrm>
          <a:off x="1724025" y="4529137"/>
          <a:ext cx="533399" cy="452437"/>
        </a:xfrm>
        <a:prstGeom prst="rect">
          <a:avLst/>
        </a:prstGeom>
      </xdr:spPr>
    </xdr:pic>
    <xdr:clientData/>
  </xdr:twoCellAnchor>
  <xdr:twoCellAnchor editAs="oneCell">
    <xdr:from>
      <xdr:col>2</xdr:col>
      <xdr:colOff>38101</xdr:colOff>
      <xdr:row>15</xdr:row>
      <xdr:rowOff>52388</xdr:rowOff>
    </xdr:from>
    <xdr:to>
      <xdr:col>3</xdr:col>
      <xdr:colOff>0</xdr:colOff>
      <xdr:row>15</xdr:row>
      <xdr:rowOff>466724</xdr:rowOff>
    </xdr:to>
    <xdr:pic>
      <xdr:nvPicPr>
        <xdr:cNvPr id="54" name="Image 53"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l="50417" t="69608" r="25833" b="1961"/>
        <a:stretch>
          <a:fillRect/>
        </a:stretch>
      </xdr:blipFill>
      <xdr:spPr>
        <a:xfrm>
          <a:off x="1733551" y="5233988"/>
          <a:ext cx="542924" cy="414336"/>
        </a:xfrm>
        <a:prstGeom prst="rect">
          <a:avLst/>
        </a:prstGeom>
      </xdr:spPr>
    </xdr:pic>
    <xdr:clientData/>
  </xdr:twoCellAnchor>
  <xdr:twoCellAnchor editAs="oneCell">
    <xdr:from>
      <xdr:col>1</xdr:col>
      <xdr:colOff>1104901</xdr:colOff>
      <xdr:row>11</xdr:row>
      <xdr:rowOff>19050</xdr:rowOff>
    </xdr:from>
    <xdr:to>
      <xdr:col>2</xdr:col>
      <xdr:colOff>519112</xdr:colOff>
      <xdr:row>11</xdr:row>
      <xdr:rowOff>466724</xdr:rowOff>
    </xdr:to>
    <xdr:pic>
      <xdr:nvPicPr>
        <xdr:cNvPr id="55" name="Image 54"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l="25625" t="67647" r="51250" b="1634"/>
        <a:stretch>
          <a:fillRect/>
        </a:stretch>
      </xdr:blipFill>
      <xdr:spPr>
        <a:xfrm>
          <a:off x="1685926" y="3781425"/>
          <a:ext cx="528636" cy="447674"/>
        </a:xfrm>
        <a:prstGeom prst="rect">
          <a:avLst/>
        </a:prstGeom>
      </xdr:spPr>
    </xdr:pic>
    <xdr:clientData/>
  </xdr:twoCellAnchor>
  <xdr:twoCellAnchor editAs="oneCell">
    <xdr:from>
      <xdr:col>0</xdr:col>
      <xdr:colOff>47625</xdr:colOff>
      <xdr:row>13</xdr:row>
      <xdr:rowOff>14287</xdr:rowOff>
    </xdr:from>
    <xdr:to>
      <xdr:col>1</xdr:col>
      <xdr:colOff>19049</xdr:colOff>
      <xdr:row>13</xdr:row>
      <xdr:rowOff>466724</xdr:rowOff>
    </xdr:to>
    <xdr:pic>
      <xdr:nvPicPr>
        <xdr:cNvPr id="56" name="Image 55"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t="67320" r="75833" b="1634"/>
        <a:stretch>
          <a:fillRect/>
        </a:stretch>
      </xdr:blipFill>
      <xdr:spPr>
        <a:xfrm>
          <a:off x="47625" y="4519612"/>
          <a:ext cx="552449" cy="452437"/>
        </a:xfrm>
        <a:prstGeom prst="rect">
          <a:avLst/>
        </a:prstGeom>
      </xdr:spPr>
    </xdr:pic>
    <xdr:clientData/>
  </xdr:twoCellAnchor>
  <xdr:twoCellAnchor editAs="oneCell">
    <xdr:from>
      <xdr:col>0</xdr:col>
      <xdr:colOff>66677</xdr:colOff>
      <xdr:row>15</xdr:row>
      <xdr:rowOff>42863</xdr:rowOff>
    </xdr:from>
    <xdr:to>
      <xdr:col>0</xdr:col>
      <xdr:colOff>538163</xdr:colOff>
      <xdr:row>15</xdr:row>
      <xdr:rowOff>504825</xdr:rowOff>
    </xdr:to>
    <xdr:pic>
      <xdr:nvPicPr>
        <xdr:cNvPr id="57" name="Image 56" descr="480x306ximage.jpg.pagespeed.ic.Vp-Vwbq8b2.jpg"/>
        <xdr:cNvPicPr>
          <a:picLocks noChangeAspect="1"/>
        </xdr:cNvPicPr>
      </xdr:nvPicPr>
      <xdr:blipFill>
        <a:blip xmlns:r="http://schemas.openxmlformats.org/officeDocument/2006/relationships" r:embed="rId3" cstate="print">
          <a:clrChange>
            <a:clrFrom>
              <a:srgbClr val="FEFEFE"/>
            </a:clrFrom>
            <a:clrTo>
              <a:srgbClr val="FEFEFE">
                <a:alpha val="0"/>
              </a:srgbClr>
            </a:clrTo>
          </a:clrChange>
        </a:blip>
        <a:srcRect l="78125" t="33987" r="1250" b="34314"/>
        <a:stretch>
          <a:fillRect/>
        </a:stretch>
      </xdr:blipFill>
      <xdr:spPr>
        <a:xfrm>
          <a:off x="66677" y="5224463"/>
          <a:ext cx="471486" cy="461962"/>
        </a:xfrm>
        <a:prstGeom prst="rect">
          <a:avLst/>
        </a:prstGeom>
      </xdr:spPr>
    </xdr:pic>
    <xdr:clientData/>
  </xdr:twoCellAnchor>
  <xdr:twoCellAnchor editAs="oneCell">
    <xdr:from>
      <xdr:col>0</xdr:col>
      <xdr:colOff>19050</xdr:colOff>
      <xdr:row>11</xdr:row>
      <xdr:rowOff>61912</xdr:rowOff>
    </xdr:from>
    <xdr:to>
      <xdr:col>0</xdr:col>
      <xdr:colOff>561974</xdr:colOff>
      <xdr:row>11</xdr:row>
      <xdr:rowOff>514349</xdr:rowOff>
    </xdr:to>
    <xdr:pic>
      <xdr:nvPicPr>
        <xdr:cNvPr id="58" name="Image 57"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l="50417" t="34967" r="25833" b="33987"/>
        <a:stretch>
          <a:fillRect/>
        </a:stretch>
      </xdr:blipFill>
      <xdr:spPr>
        <a:xfrm>
          <a:off x="19050" y="3824287"/>
          <a:ext cx="542924" cy="452437"/>
        </a:xfrm>
        <a:prstGeom prst="rect">
          <a:avLst/>
        </a:prstGeom>
      </xdr:spPr>
    </xdr:pic>
    <xdr:clientData/>
  </xdr:twoCellAnchor>
  <xdr:twoCellAnchor editAs="oneCell">
    <xdr:from>
      <xdr:col>2</xdr:col>
      <xdr:colOff>28576</xdr:colOff>
      <xdr:row>5</xdr:row>
      <xdr:rowOff>57150</xdr:rowOff>
    </xdr:from>
    <xdr:to>
      <xdr:col>2</xdr:col>
      <xdr:colOff>576262</xdr:colOff>
      <xdr:row>5</xdr:row>
      <xdr:rowOff>523874</xdr:rowOff>
    </xdr:to>
    <xdr:pic>
      <xdr:nvPicPr>
        <xdr:cNvPr id="59" name="Image 58" descr="480x306ximage.jpg.pagespeed.ic.Vp-Vwbq8b2.jpg"/>
        <xdr:cNvPicPr>
          <a:picLocks noChangeAspect="1"/>
        </xdr:cNvPicPr>
      </xdr:nvPicPr>
      <xdr:blipFill>
        <a:blip xmlns:r="http://schemas.openxmlformats.org/officeDocument/2006/relationships" r:embed="rId3" cstate="print">
          <a:clrChange>
            <a:clrFrom>
              <a:srgbClr val="FEFEFE"/>
            </a:clrFrom>
            <a:clrTo>
              <a:srgbClr val="FEFEFE">
                <a:alpha val="0"/>
              </a:srgbClr>
            </a:clrTo>
          </a:clrChange>
        </a:blip>
        <a:srcRect l="25417" t="33660" r="50625" b="34314"/>
        <a:stretch>
          <a:fillRect/>
        </a:stretch>
      </xdr:blipFill>
      <xdr:spPr>
        <a:xfrm>
          <a:off x="1724026" y="1571625"/>
          <a:ext cx="547686" cy="466724"/>
        </a:xfrm>
        <a:prstGeom prst="rect">
          <a:avLst/>
        </a:prstGeom>
      </xdr:spPr>
    </xdr:pic>
    <xdr:clientData/>
  </xdr:twoCellAnchor>
  <xdr:twoCellAnchor editAs="oneCell">
    <xdr:from>
      <xdr:col>0</xdr:col>
      <xdr:colOff>9525</xdr:colOff>
      <xdr:row>5</xdr:row>
      <xdr:rowOff>57150</xdr:rowOff>
    </xdr:from>
    <xdr:to>
      <xdr:col>0</xdr:col>
      <xdr:colOff>571499</xdr:colOff>
      <xdr:row>5</xdr:row>
      <xdr:rowOff>514349</xdr:rowOff>
    </xdr:to>
    <xdr:pic>
      <xdr:nvPicPr>
        <xdr:cNvPr id="60" name="Image 59"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t="33987" r="75417" b="34640"/>
        <a:stretch>
          <a:fillRect/>
        </a:stretch>
      </xdr:blipFill>
      <xdr:spPr>
        <a:xfrm>
          <a:off x="9525" y="1571625"/>
          <a:ext cx="561974" cy="457199"/>
        </a:xfrm>
        <a:prstGeom prst="rect">
          <a:avLst/>
        </a:prstGeom>
      </xdr:spPr>
    </xdr:pic>
    <xdr:clientData/>
  </xdr:twoCellAnchor>
  <xdr:twoCellAnchor editAs="oneCell">
    <xdr:from>
      <xdr:col>2</xdr:col>
      <xdr:colOff>0</xdr:colOff>
      <xdr:row>9</xdr:row>
      <xdr:rowOff>42863</xdr:rowOff>
    </xdr:from>
    <xdr:to>
      <xdr:col>2</xdr:col>
      <xdr:colOff>547686</xdr:colOff>
      <xdr:row>9</xdr:row>
      <xdr:rowOff>504825</xdr:rowOff>
    </xdr:to>
    <xdr:pic>
      <xdr:nvPicPr>
        <xdr:cNvPr id="61" name="Image 60"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l="75417" r="625" b="68301"/>
        <a:stretch>
          <a:fillRect/>
        </a:stretch>
      </xdr:blipFill>
      <xdr:spPr>
        <a:xfrm>
          <a:off x="1695450" y="3071813"/>
          <a:ext cx="547686" cy="461962"/>
        </a:xfrm>
        <a:prstGeom prst="rect">
          <a:avLst/>
        </a:prstGeom>
      </xdr:spPr>
    </xdr:pic>
    <xdr:clientData/>
  </xdr:twoCellAnchor>
  <xdr:twoCellAnchor editAs="oneCell">
    <xdr:from>
      <xdr:col>0</xdr:col>
      <xdr:colOff>38101</xdr:colOff>
      <xdr:row>9</xdr:row>
      <xdr:rowOff>61912</xdr:rowOff>
    </xdr:from>
    <xdr:to>
      <xdr:col>0</xdr:col>
      <xdr:colOff>542925</xdr:colOff>
      <xdr:row>9</xdr:row>
      <xdr:rowOff>533398</xdr:rowOff>
    </xdr:to>
    <xdr:pic>
      <xdr:nvPicPr>
        <xdr:cNvPr id="62" name="Image 61"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l="51042" t="327" r="26875" b="67320"/>
        <a:stretch>
          <a:fillRect/>
        </a:stretch>
      </xdr:blipFill>
      <xdr:spPr>
        <a:xfrm>
          <a:off x="38101" y="3090862"/>
          <a:ext cx="504824" cy="471486"/>
        </a:xfrm>
        <a:prstGeom prst="rect">
          <a:avLst/>
        </a:prstGeom>
      </xdr:spPr>
    </xdr:pic>
    <xdr:clientData/>
  </xdr:twoCellAnchor>
  <xdr:twoCellAnchor editAs="oneCell">
    <xdr:from>
      <xdr:col>2</xdr:col>
      <xdr:colOff>9526</xdr:colOff>
      <xdr:row>7</xdr:row>
      <xdr:rowOff>66675</xdr:rowOff>
    </xdr:from>
    <xdr:to>
      <xdr:col>2</xdr:col>
      <xdr:colOff>576262</xdr:colOff>
      <xdr:row>7</xdr:row>
      <xdr:rowOff>523874</xdr:rowOff>
    </xdr:to>
    <xdr:pic>
      <xdr:nvPicPr>
        <xdr:cNvPr id="63" name="Image 62"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l="25000" t="1307" r="50208" b="67320"/>
        <a:stretch>
          <a:fillRect/>
        </a:stretch>
      </xdr:blipFill>
      <xdr:spPr>
        <a:xfrm>
          <a:off x="1704976" y="2352675"/>
          <a:ext cx="566736" cy="457199"/>
        </a:xfrm>
        <a:prstGeom prst="rect">
          <a:avLst/>
        </a:prstGeom>
      </xdr:spPr>
    </xdr:pic>
    <xdr:clientData/>
  </xdr:twoCellAnchor>
  <xdr:twoCellAnchor editAs="oneCell">
    <xdr:from>
      <xdr:col>0</xdr:col>
      <xdr:colOff>28576</xdr:colOff>
      <xdr:row>7</xdr:row>
      <xdr:rowOff>66675</xdr:rowOff>
    </xdr:from>
    <xdr:to>
      <xdr:col>0</xdr:col>
      <xdr:colOff>576262</xdr:colOff>
      <xdr:row>7</xdr:row>
      <xdr:rowOff>523874</xdr:rowOff>
    </xdr:to>
    <xdr:pic>
      <xdr:nvPicPr>
        <xdr:cNvPr id="64" name="Image 63"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r="76042" b="68627"/>
        <a:stretch>
          <a:fillRect/>
        </a:stretch>
      </xdr:blipFill>
      <xdr:spPr>
        <a:xfrm>
          <a:off x="28576" y="2352675"/>
          <a:ext cx="547686" cy="457199"/>
        </a:xfrm>
        <a:prstGeom prst="rect">
          <a:avLst/>
        </a:prstGeom>
      </xdr:spPr>
    </xdr:pic>
    <xdr:clientData/>
  </xdr:twoCellAnchor>
  <xdr:twoCellAnchor editAs="oneCell">
    <xdr:from>
      <xdr:col>16</xdr:col>
      <xdr:colOff>521714</xdr:colOff>
      <xdr:row>5</xdr:row>
      <xdr:rowOff>47625</xdr:rowOff>
    </xdr:from>
    <xdr:to>
      <xdr:col>17</xdr:col>
      <xdr:colOff>609600</xdr:colOff>
      <xdr:row>6</xdr:row>
      <xdr:rowOff>183056</xdr:rowOff>
    </xdr:to>
    <xdr:pic>
      <xdr:nvPicPr>
        <xdr:cNvPr id="65" name="Image 64"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t="33987" r="75417" b="34640"/>
        <a:stretch>
          <a:fillRect/>
        </a:stretch>
      </xdr:blipFill>
      <xdr:spPr>
        <a:xfrm rot="20755940">
          <a:off x="13113764" y="1562100"/>
          <a:ext cx="868936" cy="706931"/>
        </a:xfrm>
        <a:prstGeom prst="rect">
          <a:avLst/>
        </a:prstGeom>
      </xdr:spPr>
    </xdr:pic>
    <xdr:clientData/>
  </xdr:twoCellAnchor>
  <xdr:twoCellAnchor editAs="oneCell">
    <xdr:from>
      <xdr:col>13</xdr:col>
      <xdr:colOff>512189</xdr:colOff>
      <xdr:row>4</xdr:row>
      <xdr:rowOff>304800</xdr:rowOff>
    </xdr:from>
    <xdr:to>
      <xdr:col>14</xdr:col>
      <xdr:colOff>600075</xdr:colOff>
      <xdr:row>6</xdr:row>
      <xdr:rowOff>68756</xdr:rowOff>
    </xdr:to>
    <xdr:pic>
      <xdr:nvPicPr>
        <xdr:cNvPr id="66" name="Image 65"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t="33987" r="75417" b="34640"/>
        <a:stretch>
          <a:fillRect/>
        </a:stretch>
      </xdr:blipFill>
      <xdr:spPr>
        <a:xfrm rot="20755940">
          <a:off x="10799189" y="1447800"/>
          <a:ext cx="868936" cy="706931"/>
        </a:xfrm>
        <a:prstGeom prst="rect">
          <a:avLst/>
        </a:prstGeom>
      </xdr:spPr>
    </xdr:pic>
    <xdr:clientData/>
  </xdr:twoCellAnchor>
  <xdr:twoCellAnchor editAs="oneCell">
    <xdr:from>
      <xdr:col>15</xdr:col>
      <xdr:colOff>553330</xdr:colOff>
      <xdr:row>7</xdr:row>
      <xdr:rowOff>523875</xdr:rowOff>
    </xdr:from>
    <xdr:to>
      <xdr:col>16</xdr:col>
      <xdr:colOff>638175</xdr:colOff>
      <xdr:row>9</xdr:row>
      <xdr:rowOff>487856</xdr:rowOff>
    </xdr:to>
    <xdr:pic>
      <xdr:nvPicPr>
        <xdr:cNvPr id="67" name="Image 66"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r="76042" b="68627"/>
        <a:stretch>
          <a:fillRect/>
        </a:stretch>
      </xdr:blipFill>
      <xdr:spPr>
        <a:xfrm rot="20694281">
          <a:off x="12383380" y="2809875"/>
          <a:ext cx="846845" cy="706931"/>
        </a:xfrm>
        <a:prstGeom prst="rect">
          <a:avLst/>
        </a:prstGeom>
      </xdr:spPr>
    </xdr:pic>
    <xdr:clientData/>
  </xdr:twoCellAnchor>
  <xdr:twoCellAnchor editAs="oneCell">
    <xdr:from>
      <xdr:col>10</xdr:col>
      <xdr:colOff>458080</xdr:colOff>
      <xdr:row>5</xdr:row>
      <xdr:rowOff>123825</xdr:rowOff>
    </xdr:from>
    <xdr:to>
      <xdr:col>11</xdr:col>
      <xdr:colOff>523875</xdr:colOff>
      <xdr:row>7</xdr:row>
      <xdr:rowOff>59231</xdr:rowOff>
    </xdr:to>
    <xdr:pic>
      <xdr:nvPicPr>
        <xdr:cNvPr id="68" name="Image 67"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r="76042" b="68627"/>
        <a:stretch>
          <a:fillRect/>
        </a:stretch>
      </xdr:blipFill>
      <xdr:spPr>
        <a:xfrm rot="20694281">
          <a:off x="8440030" y="1638300"/>
          <a:ext cx="846845" cy="706931"/>
        </a:xfrm>
        <a:prstGeom prst="rect">
          <a:avLst/>
        </a:prstGeom>
      </xdr:spPr>
    </xdr:pic>
    <xdr:clientData/>
  </xdr:twoCellAnchor>
  <xdr:twoCellAnchor editAs="oneCell">
    <xdr:from>
      <xdr:col>15</xdr:col>
      <xdr:colOff>324330</xdr:colOff>
      <xdr:row>5</xdr:row>
      <xdr:rowOff>295275</xdr:rowOff>
    </xdr:from>
    <xdr:to>
      <xdr:col>16</xdr:col>
      <xdr:colOff>342900</xdr:colOff>
      <xdr:row>7</xdr:row>
      <xdr:rowOff>252772</xdr:rowOff>
    </xdr:to>
    <xdr:pic>
      <xdr:nvPicPr>
        <xdr:cNvPr id="69" name="Image 68"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l="51042" t="327" r="26875" b="67320"/>
        <a:stretch>
          <a:fillRect/>
        </a:stretch>
      </xdr:blipFill>
      <xdr:spPr>
        <a:xfrm rot="20795199">
          <a:off x="12154380" y="1809750"/>
          <a:ext cx="780570" cy="729022"/>
        </a:xfrm>
        <a:prstGeom prst="rect">
          <a:avLst/>
        </a:prstGeom>
      </xdr:spPr>
    </xdr:pic>
    <xdr:clientData/>
  </xdr:twoCellAnchor>
  <xdr:twoCellAnchor editAs="oneCell">
    <xdr:from>
      <xdr:col>10</xdr:col>
      <xdr:colOff>86205</xdr:colOff>
      <xdr:row>11</xdr:row>
      <xdr:rowOff>85725</xdr:rowOff>
    </xdr:from>
    <xdr:to>
      <xdr:col>11</xdr:col>
      <xdr:colOff>85725</xdr:colOff>
      <xdr:row>13</xdr:row>
      <xdr:rowOff>71797</xdr:rowOff>
    </xdr:to>
    <xdr:pic>
      <xdr:nvPicPr>
        <xdr:cNvPr id="70" name="Image 69"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l="51042" t="327" r="26875" b="67320"/>
        <a:stretch>
          <a:fillRect/>
        </a:stretch>
      </xdr:blipFill>
      <xdr:spPr>
        <a:xfrm rot="20795199">
          <a:off x="8068155" y="3848100"/>
          <a:ext cx="780570" cy="729022"/>
        </a:xfrm>
        <a:prstGeom prst="rect">
          <a:avLst/>
        </a:prstGeom>
      </xdr:spPr>
    </xdr:pic>
    <xdr:clientData/>
  </xdr:twoCellAnchor>
  <xdr:twoCellAnchor editAs="oneCell">
    <xdr:from>
      <xdr:col>8</xdr:col>
      <xdr:colOff>143355</xdr:colOff>
      <xdr:row>10</xdr:row>
      <xdr:rowOff>47625</xdr:rowOff>
    </xdr:from>
    <xdr:to>
      <xdr:col>9</xdr:col>
      <xdr:colOff>161925</xdr:colOff>
      <xdr:row>12</xdr:row>
      <xdr:rowOff>33697</xdr:rowOff>
    </xdr:to>
    <xdr:pic>
      <xdr:nvPicPr>
        <xdr:cNvPr id="71" name="Image 70"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l="51042" t="327" r="26875" b="67320"/>
        <a:stretch>
          <a:fillRect/>
        </a:stretch>
      </xdr:blipFill>
      <xdr:spPr>
        <a:xfrm rot="20795199">
          <a:off x="6601305" y="3609975"/>
          <a:ext cx="780570" cy="729022"/>
        </a:xfrm>
        <a:prstGeom prst="rect">
          <a:avLst/>
        </a:prstGeom>
      </xdr:spPr>
    </xdr:pic>
    <xdr:clientData/>
  </xdr:twoCellAnchor>
  <xdr:twoCellAnchor editAs="oneCell">
    <xdr:from>
      <xdr:col>17</xdr:col>
      <xdr:colOff>313043</xdr:colOff>
      <xdr:row>10</xdr:row>
      <xdr:rowOff>9526</xdr:rowOff>
    </xdr:from>
    <xdr:to>
      <xdr:col>18</xdr:col>
      <xdr:colOff>390524</xdr:colOff>
      <xdr:row>11</xdr:row>
      <xdr:rowOff>509069</xdr:rowOff>
    </xdr:to>
    <xdr:pic>
      <xdr:nvPicPr>
        <xdr:cNvPr id="72" name="Image 71"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l="50417" t="34967" r="25833" b="33987"/>
        <a:stretch>
          <a:fillRect/>
        </a:stretch>
      </xdr:blipFill>
      <xdr:spPr>
        <a:xfrm rot="20759320">
          <a:off x="13686143" y="3571876"/>
          <a:ext cx="839481" cy="699568"/>
        </a:xfrm>
        <a:prstGeom prst="rect">
          <a:avLst/>
        </a:prstGeom>
      </xdr:spPr>
    </xdr:pic>
    <xdr:clientData/>
  </xdr:twoCellAnchor>
  <xdr:twoCellAnchor editAs="oneCell">
    <xdr:from>
      <xdr:col>14</xdr:col>
      <xdr:colOff>265418</xdr:colOff>
      <xdr:row>9</xdr:row>
      <xdr:rowOff>495301</xdr:rowOff>
    </xdr:from>
    <xdr:to>
      <xdr:col>15</xdr:col>
      <xdr:colOff>342899</xdr:colOff>
      <xdr:row>11</xdr:row>
      <xdr:rowOff>461444</xdr:rowOff>
    </xdr:to>
    <xdr:pic>
      <xdr:nvPicPr>
        <xdr:cNvPr id="73" name="Image 72"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l="50417" t="34967" r="25833" b="33987"/>
        <a:stretch>
          <a:fillRect/>
        </a:stretch>
      </xdr:blipFill>
      <xdr:spPr>
        <a:xfrm rot="20759320">
          <a:off x="11333468" y="3524251"/>
          <a:ext cx="839481" cy="699568"/>
        </a:xfrm>
        <a:prstGeom prst="rect">
          <a:avLst/>
        </a:prstGeom>
      </xdr:spPr>
    </xdr:pic>
    <xdr:clientData/>
  </xdr:twoCellAnchor>
  <xdr:twoCellAnchor editAs="oneCell">
    <xdr:from>
      <xdr:col>7</xdr:col>
      <xdr:colOff>636893</xdr:colOff>
      <xdr:row>7</xdr:row>
      <xdr:rowOff>390526</xdr:rowOff>
    </xdr:from>
    <xdr:to>
      <xdr:col>8</xdr:col>
      <xdr:colOff>695324</xdr:colOff>
      <xdr:row>9</xdr:row>
      <xdr:rowOff>347144</xdr:rowOff>
    </xdr:to>
    <xdr:pic>
      <xdr:nvPicPr>
        <xdr:cNvPr id="74" name="Image 73"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l="50417" t="34967" r="25833" b="33987"/>
        <a:stretch>
          <a:fillRect/>
        </a:stretch>
      </xdr:blipFill>
      <xdr:spPr>
        <a:xfrm rot="20759320">
          <a:off x="6313793" y="2676526"/>
          <a:ext cx="839481" cy="699568"/>
        </a:xfrm>
        <a:prstGeom prst="rect">
          <a:avLst/>
        </a:prstGeom>
      </xdr:spPr>
    </xdr:pic>
    <xdr:clientData/>
  </xdr:twoCellAnchor>
  <xdr:twoCellAnchor editAs="oneCell">
    <xdr:from>
      <xdr:col>16</xdr:col>
      <xdr:colOff>126867</xdr:colOff>
      <xdr:row>11</xdr:row>
      <xdr:rowOff>66675</xdr:rowOff>
    </xdr:from>
    <xdr:to>
      <xdr:col>17</xdr:col>
      <xdr:colOff>200025</xdr:colOff>
      <xdr:row>13</xdr:row>
      <xdr:rowOff>23292</xdr:rowOff>
    </xdr:to>
    <xdr:pic>
      <xdr:nvPicPr>
        <xdr:cNvPr id="76" name="Image 75"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t="67320" r="75833" b="1634"/>
        <a:stretch>
          <a:fillRect/>
        </a:stretch>
      </xdr:blipFill>
      <xdr:spPr>
        <a:xfrm rot="20703517">
          <a:off x="12718917" y="3829050"/>
          <a:ext cx="854208" cy="699567"/>
        </a:xfrm>
        <a:prstGeom prst="rect">
          <a:avLst/>
        </a:prstGeom>
      </xdr:spPr>
    </xdr:pic>
    <xdr:clientData/>
  </xdr:twoCellAnchor>
  <xdr:twoCellAnchor editAs="oneCell">
    <xdr:from>
      <xdr:col>7</xdr:col>
      <xdr:colOff>393567</xdr:colOff>
      <xdr:row>5</xdr:row>
      <xdr:rowOff>209550</xdr:rowOff>
    </xdr:from>
    <xdr:to>
      <xdr:col>8</xdr:col>
      <xdr:colOff>466725</xdr:colOff>
      <xdr:row>7</xdr:row>
      <xdr:rowOff>137592</xdr:rowOff>
    </xdr:to>
    <xdr:pic>
      <xdr:nvPicPr>
        <xdr:cNvPr id="77" name="Image 76"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t="67320" r="75833" b="1634"/>
        <a:stretch>
          <a:fillRect/>
        </a:stretch>
      </xdr:blipFill>
      <xdr:spPr>
        <a:xfrm rot="20703517">
          <a:off x="6070467" y="1724025"/>
          <a:ext cx="854208" cy="699567"/>
        </a:xfrm>
        <a:prstGeom prst="rect">
          <a:avLst/>
        </a:prstGeom>
      </xdr:spPr>
    </xdr:pic>
    <xdr:clientData/>
  </xdr:twoCellAnchor>
  <xdr:twoCellAnchor editAs="oneCell">
    <xdr:from>
      <xdr:col>6</xdr:col>
      <xdr:colOff>118703</xdr:colOff>
      <xdr:row>5</xdr:row>
      <xdr:rowOff>466725</xdr:rowOff>
    </xdr:from>
    <xdr:to>
      <xdr:col>7</xdr:col>
      <xdr:colOff>85724</xdr:colOff>
      <xdr:row>7</xdr:row>
      <xdr:rowOff>409494</xdr:rowOff>
    </xdr:to>
    <xdr:pic>
      <xdr:nvPicPr>
        <xdr:cNvPr id="78" name="Image 77" descr="480x306ximage.jpg.pagespeed.ic.Vp-Vwbq8b2.jpg"/>
        <xdr:cNvPicPr>
          <a:picLocks noChangeAspect="1"/>
        </xdr:cNvPicPr>
      </xdr:nvPicPr>
      <xdr:blipFill>
        <a:blip xmlns:r="http://schemas.openxmlformats.org/officeDocument/2006/relationships" r:embed="rId3" cstate="print">
          <a:clrChange>
            <a:clrFrom>
              <a:srgbClr val="FEFEFE"/>
            </a:clrFrom>
            <a:clrTo>
              <a:srgbClr val="FEFEFE">
                <a:alpha val="0"/>
              </a:srgbClr>
            </a:clrTo>
          </a:clrChange>
        </a:blip>
        <a:srcRect l="78125" t="33987" r="1250" b="34314"/>
        <a:stretch>
          <a:fillRect/>
        </a:stretch>
      </xdr:blipFill>
      <xdr:spPr>
        <a:xfrm rot="20799636">
          <a:off x="5033603" y="1981200"/>
          <a:ext cx="729021" cy="714294"/>
        </a:xfrm>
        <a:prstGeom prst="rect">
          <a:avLst/>
        </a:prstGeom>
      </xdr:spPr>
    </xdr:pic>
    <xdr:clientData/>
  </xdr:twoCellAnchor>
  <xdr:twoCellAnchor editAs="oneCell">
    <xdr:from>
      <xdr:col>17</xdr:col>
      <xdr:colOff>10405</xdr:colOff>
      <xdr:row>7</xdr:row>
      <xdr:rowOff>276225</xdr:rowOff>
    </xdr:from>
    <xdr:to>
      <xdr:col>18</xdr:col>
      <xdr:colOff>95250</xdr:colOff>
      <xdr:row>9</xdr:row>
      <xdr:rowOff>254934</xdr:rowOff>
    </xdr:to>
    <xdr:pic>
      <xdr:nvPicPr>
        <xdr:cNvPr id="79" name="Image 78" descr="480x306ximage.jpg.pagespeed.ic.Vp-Vwbq8b2.jpg"/>
        <xdr:cNvPicPr>
          <a:picLocks noChangeAspect="1"/>
        </xdr:cNvPicPr>
      </xdr:nvPicPr>
      <xdr:blipFill>
        <a:blip xmlns:r="http://schemas.openxmlformats.org/officeDocument/2006/relationships" r:embed="rId3" cstate="print">
          <a:clrChange>
            <a:clrFrom>
              <a:srgbClr val="FEFEFE"/>
            </a:clrFrom>
            <a:clrTo>
              <a:srgbClr val="FEFEFE">
                <a:alpha val="0"/>
              </a:srgbClr>
            </a:clrTo>
          </a:clrChange>
        </a:blip>
        <a:srcRect l="25417" t="33660" r="50625" b="34314"/>
        <a:stretch>
          <a:fillRect/>
        </a:stretch>
      </xdr:blipFill>
      <xdr:spPr>
        <a:xfrm rot="20815798">
          <a:off x="13383505" y="2562225"/>
          <a:ext cx="846845" cy="721659"/>
        </a:xfrm>
        <a:prstGeom prst="rect">
          <a:avLst/>
        </a:prstGeom>
      </xdr:spPr>
    </xdr:pic>
    <xdr:clientData/>
  </xdr:twoCellAnchor>
  <xdr:twoCellAnchor editAs="oneCell">
    <xdr:from>
      <xdr:col>13</xdr:col>
      <xdr:colOff>48505</xdr:colOff>
      <xdr:row>11</xdr:row>
      <xdr:rowOff>47625</xdr:rowOff>
    </xdr:from>
    <xdr:to>
      <xdr:col>14</xdr:col>
      <xdr:colOff>114300</xdr:colOff>
      <xdr:row>13</xdr:row>
      <xdr:rowOff>26334</xdr:rowOff>
    </xdr:to>
    <xdr:pic>
      <xdr:nvPicPr>
        <xdr:cNvPr id="80" name="Image 79" descr="480x306ximage.jpg.pagespeed.ic.Vp-Vwbq8b2.jpg"/>
        <xdr:cNvPicPr>
          <a:picLocks noChangeAspect="1"/>
        </xdr:cNvPicPr>
      </xdr:nvPicPr>
      <xdr:blipFill>
        <a:blip xmlns:r="http://schemas.openxmlformats.org/officeDocument/2006/relationships" r:embed="rId3" cstate="print">
          <a:clrChange>
            <a:clrFrom>
              <a:srgbClr val="FEFEFE"/>
            </a:clrFrom>
            <a:clrTo>
              <a:srgbClr val="FEFEFE">
                <a:alpha val="0"/>
              </a:srgbClr>
            </a:clrTo>
          </a:clrChange>
        </a:blip>
        <a:srcRect l="25417" t="33660" r="50625" b="34314"/>
        <a:stretch>
          <a:fillRect/>
        </a:stretch>
      </xdr:blipFill>
      <xdr:spPr>
        <a:xfrm rot="20815798">
          <a:off x="10335505" y="3810000"/>
          <a:ext cx="846845" cy="721659"/>
        </a:xfrm>
        <a:prstGeom prst="rect">
          <a:avLst/>
        </a:prstGeom>
      </xdr:spPr>
    </xdr:pic>
    <xdr:clientData/>
  </xdr:twoCellAnchor>
  <xdr:twoCellAnchor editAs="oneCell">
    <xdr:from>
      <xdr:col>11</xdr:col>
      <xdr:colOff>258055</xdr:colOff>
      <xdr:row>10</xdr:row>
      <xdr:rowOff>9525</xdr:rowOff>
    </xdr:from>
    <xdr:to>
      <xdr:col>12</xdr:col>
      <xdr:colOff>342900</xdr:colOff>
      <xdr:row>11</xdr:row>
      <xdr:rowOff>531159</xdr:rowOff>
    </xdr:to>
    <xdr:pic>
      <xdr:nvPicPr>
        <xdr:cNvPr id="81" name="Image 80" descr="480x306ximage.jpg.pagespeed.ic.Vp-Vwbq8b2.jpg"/>
        <xdr:cNvPicPr>
          <a:picLocks noChangeAspect="1"/>
        </xdr:cNvPicPr>
      </xdr:nvPicPr>
      <xdr:blipFill>
        <a:blip xmlns:r="http://schemas.openxmlformats.org/officeDocument/2006/relationships" r:embed="rId3" cstate="print">
          <a:clrChange>
            <a:clrFrom>
              <a:srgbClr val="FEFEFE"/>
            </a:clrFrom>
            <a:clrTo>
              <a:srgbClr val="FEFEFE">
                <a:alpha val="0"/>
              </a:srgbClr>
            </a:clrTo>
          </a:clrChange>
        </a:blip>
        <a:srcRect l="25417" t="33660" r="50625" b="34314"/>
        <a:stretch>
          <a:fillRect/>
        </a:stretch>
      </xdr:blipFill>
      <xdr:spPr>
        <a:xfrm rot="20815798">
          <a:off x="9021055" y="3571875"/>
          <a:ext cx="846845" cy="721659"/>
        </a:xfrm>
        <a:prstGeom prst="rect">
          <a:avLst/>
        </a:prstGeom>
      </xdr:spPr>
    </xdr:pic>
    <xdr:clientData/>
  </xdr:twoCellAnchor>
  <xdr:twoCellAnchor editAs="oneCell">
    <xdr:from>
      <xdr:col>11</xdr:col>
      <xdr:colOff>9525</xdr:colOff>
      <xdr:row>7</xdr:row>
      <xdr:rowOff>304800</xdr:rowOff>
    </xdr:from>
    <xdr:to>
      <xdr:col>12</xdr:col>
      <xdr:colOff>123825</xdr:colOff>
      <xdr:row>9</xdr:row>
      <xdr:rowOff>268781</xdr:rowOff>
    </xdr:to>
    <xdr:pic>
      <xdr:nvPicPr>
        <xdr:cNvPr id="82" name="Image 81"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l="25000" t="1307" r="50208" b="67320"/>
        <a:stretch>
          <a:fillRect/>
        </a:stretch>
      </xdr:blipFill>
      <xdr:spPr>
        <a:xfrm rot="20653570">
          <a:off x="8772525" y="2590800"/>
          <a:ext cx="876300" cy="706931"/>
        </a:xfrm>
        <a:prstGeom prst="rect">
          <a:avLst/>
        </a:prstGeom>
      </xdr:spPr>
    </xdr:pic>
    <xdr:clientData/>
  </xdr:twoCellAnchor>
  <xdr:twoCellAnchor editAs="oneCell">
    <xdr:from>
      <xdr:col>6</xdr:col>
      <xdr:colOff>561975</xdr:colOff>
      <xdr:row>11</xdr:row>
      <xdr:rowOff>142875</xdr:rowOff>
    </xdr:from>
    <xdr:to>
      <xdr:col>7</xdr:col>
      <xdr:colOff>676275</xdr:colOff>
      <xdr:row>13</xdr:row>
      <xdr:rowOff>106856</xdr:rowOff>
    </xdr:to>
    <xdr:pic>
      <xdr:nvPicPr>
        <xdr:cNvPr id="83" name="Image 82"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l="25000" t="1307" r="50208" b="67320"/>
        <a:stretch>
          <a:fillRect/>
        </a:stretch>
      </xdr:blipFill>
      <xdr:spPr>
        <a:xfrm rot="20653570">
          <a:off x="5476875" y="3905250"/>
          <a:ext cx="876300" cy="706931"/>
        </a:xfrm>
        <a:prstGeom prst="rect">
          <a:avLst/>
        </a:prstGeom>
      </xdr:spPr>
    </xdr:pic>
    <xdr:clientData/>
  </xdr:twoCellAnchor>
  <xdr:twoCellAnchor editAs="oneCell">
    <xdr:from>
      <xdr:col>9</xdr:col>
      <xdr:colOff>229480</xdr:colOff>
      <xdr:row>5</xdr:row>
      <xdr:rowOff>276225</xdr:rowOff>
    </xdr:from>
    <xdr:to>
      <xdr:col>10</xdr:col>
      <xdr:colOff>314324</xdr:colOff>
      <xdr:row>7</xdr:row>
      <xdr:rowOff>218995</xdr:rowOff>
    </xdr:to>
    <xdr:pic>
      <xdr:nvPicPr>
        <xdr:cNvPr id="84" name="Image 83"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l="75417" r="625" b="68301"/>
        <a:stretch>
          <a:fillRect/>
        </a:stretch>
      </xdr:blipFill>
      <xdr:spPr>
        <a:xfrm rot="20698724">
          <a:off x="7449430" y="1790700"/>
          <a:ext cx="846844" cy="714295"/>
        </a:xfrm>
        <a:prstGeom prst="rect">
          <a:avLst/>
        </a:prstGeom>
      </xdr:spPr>
    </xdr:pic>
    <xdr:clientData/>
  </xdr:twoCellAnchor>
  <xdr:twoCellAnchor editAs="oneCell">
    <xdr:from>
      <xdr:col>12</xdr:col>
      <xdr:colOff>535161</xdr:colOff>
      <xdr:row>7</xdr:row>
      <xdr:rowOff>457200</xdr:rowOff>
    </xdr:from>
    <xdr:to>
      <xdr:col>13</xdr:col>
      <xdr:colOff>590550</xdr:colOff>
      <xdr:row>9</xdr:row>
      <xdr:rowOff>406453</xdr:rowOff>
    </xdr:to>
    <xdr:pic>
      <xdr:nvPicPr>
        <xdr:cNvPr id="85" name="Image 84"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l="25625" t="67647" r="51250" b="1634"/>
        <a:stretch>
          <a:fillRect/>
        </a:stretch>
      </xdr:blipFill>
      <xdr:spPr>
        <a:xfrm rot="20568172">
          <a:off x="10060161" y="2743200"/>
          <a:ext cx="817389" cy="692203"/>
        </a:xfrm>
        <a:prstGeom prst="rect">
          <a:avLst/>
        </a:prstGeom>
      </xdr:spPr>
    </xdr:pic>
    <xdr:clientData/>
  </xdr:twoCellAnchor>
  <xdr:twoCellAnchor editAs="oneCell">
    <xdr:from>
      <xdr:col>9</xdr:col>
      <xdr:colOff>525636</xdr:colOff>
      <xdr:row>7</xdr:row>
      <xdr:rowOff>523875</xdr:rowOff>
    </xdr:from>
    <xdr:to>
      <xdr:col>10</xdr:col>
      <xdr:colOff>581025</xdr:colOff>
      <xdr:row>9</xdr:row>
      <xdr:rowOff>473128</xdr:rowOff>
    </xdr:to>
    <xdr:pic>
      <xdr:nvPicPr>
        <xdr:cNvPr id="86" name="Image 85" descr="480x306ximage.jpg.pagespeed.ic.Vp-Vwbq8b2.jpg"/>
        <xdr:cNvPicPr>
          <a:picLocks noChangeAspect="1"/>
        </xdr:cNvPicPr>
      </xdr:nvPicPr>
      <xdr:blipFill>
        <a:blip xmlns:r="http://schemas.openxmlformats.org/officeDocument/2006/relationships" r:embed="rId3" cstate="print">
          <a:clrChange>
            <a:clrFrom>
              <a:srgbClr val="FDFDFD"/>
            </a:clrFrom>
            <a:clrTo>
              <a:srgbClr val="FDFDFD">
                <a:alpha val="0"/>
              </a:srgbClr>
            </a:clrTo>
          </a:clrChange>
        </a:blip>
        <a:srcRect l="25625" t="67647" r="51250" b="1634"/>
        <a:stretch>
          <a:fillRect/>
        </a:stretch>
      </xdr:blipFill>
      <xdr:spPr>
        <a:xfrm rot="20568172">
          <a:off x="7745586" y="2809875"/>
          <a:ext cx="817389" cy="692203"/>
        </a:xfrm>
        <a:prstGeom prst="rect">
          <a:avLst/>
        </a:prstGeom>
      </xdr:spPr>
    </xdr:pic>
    <xdr:clientData/>
  </xdr:twoCellAnchor>
  <xdr:twoCellAnchor editAs="oneCell">
    <xdr:from>
      <xdr:col>12</xdr:col>
      <xdr:colOff>270622</xdr:colOff>
      <xdr:row>5</xdr:row>
      <xdr:rowOff>238125</xdr:rowOff>
    </xdr:from>
    <xdr:to>
      <xdr:col>13</xdr:col>
      <xdr:colOff>333373</xdr:colOff>
      <xdr:row>7</xdr:row>
      <xdr:rowOff>166167</xdr:rowOff>
    </xdr:to>
    <xdr:pic>
      <xdr:nvPicPr>
        <xdr:cNvPr id="88" name="Image 87" descr="480x306ximage.jpg.pagespeed.ic.Vp-Vwbq8b2.jpg"/>
        <xdr:cNvPicPr>
          <a:picLocks noChangeAspect="1"/>
        </xdr:cNvPicPr>
      </xdr:nvPicPr>
      <xdr:blipFill>
        <a:blip xmlns:r="http://schemas.openxmlformats.org/officeDocument/2006/relationships" r:embed="rId3" cstate="print">
          <a:clrChange>
            <a:clrFrom>
              <a:srgbClr val="FFFDFF"/>
            </a:clrFrom>
            <a:clrTo>
              <a:srgbClr val="FFFDFF">
                <a:alpha val="0"/>
              </a:srgbClr>
            </a:clrTo>
          </a:clrChange>
        </a:blip>
        <a:srcRect l="75625" t="67647" r="1042" b="1307"/>
        <a:stretch>
          <a:fillRect/>
        </a:stretch>
      </xdr:blipFill>
      <xdr:spPr>
        <a:xfrm rot="20845830">
          <a:off x="9795622" y="1752600"/>
          <a:ext cx="824751" cy="699567"/>
        </a:xfrm>
        <a:prstGeom prst="rect">
          <a:avLst/>
        </a:prstGeom>
      </xdr:spPr>
    </xdr:pic>
    <xdr:clientData/>
  </xdr:twoCellAnchor>
  <xdr:twoCellAnchor editAs="oneCell">
    <xdr:from>
      <xdr:col>13</xdr:col>
      <xdr:colOff>779768</xdr:colOff>
      <xdr:row>7</xdr:row>
      <xdr:rowOff>285750</xdr:rowOff>
    </xdr:from>
    <xdr:to>
      <xdr:col>15</xdr:col>
      <xdr:colOff>76199</xdr:colOff>
      <xdr:row>9</xdr:row>
      <xdr:rowOff>183457</xdr:rowOff>
    </xdr:to>
    <xdr:pic>
      <xdr:nvPicPr>
        <xdr:cNvPr id="89" name="Image 88"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l="50417" t="69608" r="25833" b="1961"/>
        <a:stretch>
          <a:fillRect/>
        </a:stretch>
      </xdr:blipFill>
      <xdr:spPr>
        <a:xfrm rot="20833206">
          <a:off x="11066768" y="2571750"/>
          <a:ext cx="839481" cy="640657"/>
        </a:xfrm>
        <a:prstGeom prst="rect">
          <a:avLst/>
        </a:prstGeom>
      </xdr:spPr>
    </xdr:pic>
    <xdr:clientData/>
  </xdr:twoCellAnchor>
  <xdr:twoCellAnchor editAs="oneCell">
    <xdr:from>
      <xdr:col>6</xdr:col>
      <xdr:colOff>341618</xdr:colOff>
      <xdr:row>8</xdr:row>
      <xdr:rowOff>161927</xdr:rowOff>
    </xdr:from>
    <xdr:to>
      <xdr:col>7</xdr:col>
      <xdr:colOff>419099</xdr:colOff>
      <xdr:row>10</xdr:row>
      <xdr:rowOff>69158</xdr:rowOff>
    </xdr:to>
    <xdr:pic>
      <xdr:nvPicPr>
        <xdr:cNvPr id="90" name="Image 89" descr="480x306ximage.jpg.pagespeed.ic.Vp-Vwbq8b2.jpg"/>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blip>
        <a:srcRect l="50417" t="69608" r="25833" b="1961"/>
        <a:stretch>
          <a:fillRect/>
        </a:stretch>
      </xdr:blipFill>
      <xdr:spPr>
        <a:xfrm rot="20833206">
          <a:off x="5256518" y="2990852"/>
          <a:ext cx="839481" cy="640656"/>
        </a:xfrm>
        <a:prstGeom prst="rect">
          <a:avLst/>
        </a:prstGeom>
      </xdr:spPr>
    </xdr:pic>
    <xdr:clientData/>
  </xdr:twoCellAnchor>
  <xdr:twoCellAnchor>
    <xdr:from>
      <xdr:col>5</xdr:col>
      <xdr:colOff>95250</xdr:colOff>
      <xdr:row>13</xdr:row>
      <xdr:rowOff>171451</xdr:rowOff>
    </xdr:from>
    <xdr:to>
      <xdr:col>5</xdr:col>
      <xdr:colOff>190500</xdr:colOff>
      <xdr:row>13</xdr:row>
      <xdr:rowOff>285751</xdr:rowOff>
    </xdr:to>
    <xdr:sp macro="[0]!Elmt_SC_Feu" textlink="">
      <xdr:nvSpPr>
        <xdr:cNvPr id="44" name="Rectangle à coins arrondis 43"/>
        <xdr:cNvSpPr/>
      </xdr:nvSpPr>
      <xdr:spPr>
        <a:xfrm>
          <a:off x="4248150" y="4676776"/>
          <a:ext cx="95250" cy="1143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4</xdr:col>
      <xdr:colOff>352425</xdr:colOff>
      <xdr:row>14</xdr:row>
      <xdr:rowOff>9526</xdr:rowOff>
    </xdr:from>
    <xdr:to>
      <xdr:col>4</xdr:col>
      <xdr:colOff>447675</xdr:colOff>
      <xdr:row>14</xdr:row>
      <xdr:rowOff>123826</xdr:rowOff>
    </xdr:to>
    <xdr:sp macro="[0]!Elmt_SC_Bois" textlink="">
      <xdr:nvSpPr>
        <xdr:cNvPr id="45" name="Rectangle à coins arrondis 44"/>
        <xdr:cNvSpPr/>
      </xdr:nvSpPr>
      <xdr:spPr>
        <a:xfrm>
          <a:off x="3743325" y="4991101"/>
          <a:ext cx="95250" cy="1143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4</xdr:col>
      <xdr:colOff>409575</xdr:colOff>
      <xdr:row>15</xdr:row>
      <xdr:rowOff>342901</xdr:rowOff>
    </xdr:from>
    <xdr:to>
      <xdr:col>4</xdr:col>
      <xdr:colOff>504825</xdr:colOff>
      <xdr:row>15</xdr:row>
      <xdr:rowOff>457201</xdr:rowOff>
    </xdr:to>
    <xdr:sp macro="[0]!Elmt_SC_Eau" textlink="">
      <xdr:nvSpPr>
        <xdr:cNvPr id="46" name="Rectangle à coins arrondis 45"/>
        <xdr:cNvSpPr/>
      </xdr:nvSpPr>
      <xdr:spPr>
        <a:xfrm>
          <a:off x="3800475" y="5524501"/>
          <a:ext cx="95250" cy="1143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619125</xdr:colOff>
      <xdr:row>14</xdr:row>
      <xdr:rowOff>66676</xdr:rowOff>
    </xdr:from>
    <xdr:to>
      <xdr:col>5</xdr:col>
      <xdr:colOff>714375</xdr:colOff>
      <xdr:row>14</xdr:row>
      <xdr:rowOff>180976</xdr:rowOff>
    </xdr:to>
    <xdr:sp macro="[0]!Elmt_SC_Terre" textlink="">
      <xdr:nvSpPr>
        <xdr:cNvPr id="48" name="Rectangle à coins arrondis 47"/>
        <xdr:cNvSpPr/>
      </xdr:nvSpPr>
      <xdr:spPr>
        <a:xfrm>
          <a:off x="4772025" y="5048251"/>
          <a:ext cx="95250" cy="1143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295275</xdr:colOff>
      <xdr:row>15</xdr:row>
      <xdr:rowOff>381001</xdr:rowOff>
    </xdr:from>
    <xdr:to>
      <xdr:col>5</xdr:col>
      <xdr:colOff>390525</xdr:colOff>
      <xdr:row>15</xdr:row>
      <xdr:rowOff>495301</xdr:rowOff>
    </xdr:to>
    <xdr:sp macro="[0]!Elmt_SC_Metal" textlink="">
      <xdr:nvSpPr>
        <xdr:cNvPr id="49" name="Rectangle à coins arrondis 48"/>
        <xdr:cNvSpPr/>
      </xdr:nvSpPr>
      <xdr:spPr>
        <a:xfrm>
          <a:off x="4448175" y="5562601"/>
          <a:ext cx="95250" cy="1143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9525</xdr:colOff>
      <xdr:row>17</xdr:row>
      <xdr:rowOff>28575</xdr:rowOff>
    </xdr:from>
    <xdr:to>
      <xdr:col>18</xdr:col>
      <xdr:colOff>714375</xdr:colOff>
      <xdr:row>18</xdr:row>
      <xdr:rowOff>0</xdr:rowOff>
    </xdr:to>
    <xdr:sp macro="[0]!VersSigneChinois_PageSC" textlink="">
      <xdr:nvSpPr>
        <xdr:cNvPr id="51" name="Rectangle 50"/>
        <xdr:cNvSpPr/>
      </xdr:nvSpPr>
      <xdr:spPr>
        <a:xfrm>
          <a:off x="9525" y="5915025"/>
          <a:ext cx="14839950" cy="1619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19050</xdr:colOff>
      <xdr:row>0</xdr:row>
      <xdr:rowOff>19050</xdr:rowOff>
    </xdr:from>
    <xdr:to>
      <xdr:col>0</xdr:col>
      <xdr:colOff>506095</xdr:colOff>
      <xdr:row>0</xdr:row>
      <xdr:rowOff>191799</xdr:rowOff>
    </xdr:to>
    <xdr:sp macro="" textlink="">
      <xdr:nvSpPr>
        <xdr:cNvPr id="2" name="Rectangle à coins arrondis 1"/>
        <xdr:cNvSpPr/>
      </xdr:nvSpPr>
      <xdr:spPr>
        <a:xfrm>
          <a:off x="19050" y="1905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3</xdr:col>
      <xdr:colOff>9525</xdr:colOff>
      <xdr:row>0</xdr:row>
      <xdr:rowOff>19050</xdr:rowOff>
    </xdr:from>
    <xdr:to>
      <xdr:col>3</xdr:col>
      <xdr:colOff>819150</xdr:colOff>
      <xdr:row>0</xdr:row>
      <xdr:rowOff>209550</xdr:rowOff>
    </xdr:to>
    <xdr:sp macro="[0]!RETOURSigneAstroChinois" textlink="">
      <xdr:nvSpPr>
        <xdr:cNvPr id="3" name="Rectangle 2"/>
        <xdr:cNvSpPr/>
      </xdr:nvSpPr>
      <xdr:spPr>
        <a:xfrm>
          <a:off x="8420100" y="19050"/>
          <a:ext cx="809625" cy="1905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12</xdr:col>
      <xdr:colOff>604449</xdr:colOff>
      <xdr:row>4</xdr:row>
      <xdr:rowOff>145738</xdr:rowOff>
    </xdr:from>
    <xdr:to>
      <xdr:col>14</xdr:col>
      <xdr:colOff>323851</xdr:colOff>
      <xdr:row>14</xdr:row>
      <xdr:rowOff>98113</xdr:rowOff>
    </xdr:to>
    <xdr:sp macro="" textlink="">
      <xdr:nvSpPr>
        <xdr:cNvPr id="2" name="Rectangle à coins arrondis 1"/>
        <xdr:cNvSpPr/>
      </xdr:nvSpPr>
      <xdr:spPr>
        <a:xfrm>
          <a:off x="9329349" y="1288738"/>
          <a:ext cx="1262452" cy="3790950"/>
        </a:xfrm>
        <a:prstGeom prst="roundRect">
          <a:avLst/>
        </a:prstGeom>
        <a:blipFill>
          <a:blip xmlns:r="http://schemas.openxmlformats.org/officeDocument/2006/relationships" r:embed="rId1" cstate="print"/>
          <a:tile tx="0" ty="0" sx="100000" sy="100000" flip="none" algn="tl"/>
        </a:blipFill>
        <a:effectLst>
          <a:glow rad="228600">
            <a:schemeClr val="accent6">
              <a:satMod val="175000"/>
              <a:alpha val="40000"/>
            </a:schemeClr>
          </a:glow>
          <a:outerShdw blurRad="40000" dist="20000" dir="5400000" rotWithShape="0">
            <a:srgbClr val="000000">
              <a:alpha val="38000"/>
            </a:srgbClr>
          </a:outerShdw>
        </a:effectLst>
      </xdr:spPr>
      <xdr:style>
        <a:lnRef idx="3">
          <a:schemeClr val="lt1"/>
        </a:lnRef>
        <a:fillRef idx="1003">
          <a:schemeClr val="lt2"/>
        </a:fillRef>
        <a:effectRef idx="1">
          <a:schemeClr val="accent5"/>
        </a:effectRef>
        <a:fontRef idx="minor">
          <a:schemeClr val="lt1"/>
        </a:fontRef>
      </xdr:style>
      <xdr:txBody>
        <a:bodyPr vertOverflow="clip" rtlCol="0" anchor="ctr"/>
        <a:lstStyle/>
        <a:p>
          <a:pPr algn="ctr"/>
          <a:endParaRPr lang="fr-FR" sz="1100"/>
        </a:p>
      </xdr:txBody>
    </xdr:sp>
    <xdr:clientData/>
  </xdr:twoCellAnchor>
  <xdr:twoCellAnchor>
    <xdr:from>
      <xdr:col>15</xdr:col>
      <xdr:colOff>556824</xdr:colOff>
      <xdr:row>4</xdr:row>
      <xdr:rowOff>161925</xdr:rowOff>
    </xdr:from>
    <xdr:to>
      <xdr:col>17</xdr:col>
      <xdr:colOff>276226</xdr:colOff>
      <xdr:row>14</xdr:row>
      <xdr:rowOff>114300</xdr:rowOff>
    </xdr:to>
    <xdr:sp macro="" textlink="">
      <xdr:nvSpPr>
        <xdr:cNvPr id="3" name="Rectangle à coins arrondis 2"/>
        <xdr:cNvSpPr/>
      </xdr:nvSpPr>
      <xdr:spPr>
        <a:xfrm>
          <a:off x="11586774" y="1304925"/>
          <a:ext cx="1262452" cy="3790950"/>
        </a:xfrm>
        <a:prstGeom prst="roundRect">
          <a:avLst/>
        </a:prstGeom>
        <a:blipFill>
          <a:blip xmlns:r="http://schemas.openxmlformats.org/officeDocument/2006/relationships" r:embed="rId1" cstate="print"/>
          <a:tile tx="0" ty="0" sx="100000" sy="100000" flip="none" algn="tl"/>
        </a:blipFill>
        <a:effectLst>
          <a:glow rad="228600">
            <a:schemeClr val="accent6">
              <a:satMod val="175000"/>
              <a:alpha val="40000"/>
            </a:schemeClr>
          </a:glow>
          <a:outerShdw blurRad="40000" dist="20000" dir="5400000" rotWithShape="0">
            <a:srgbClr val="000000">
              <a:alpha val="38000"/>
            </a:srgbClr>
          </a:outerShdw>
        </a:effectLst>
      </xdr:spPr>
      <xdr:style>
        <a:lnRef idx="3">
          <a:schemeClr val="lt1"/>
        </a:lnRef>
        <a:fillRef idx="1003">
          <a:schemeClr val="lt2"/>
        </a:fillRef>
        <a:effectRef idx="1">
          <a:schemeClr val="accent2"/>
        </a:effectRef>
        <a:fontRef idx="minor">
          <a:schemeClr val="lt1"/>
        </a:fontRef>
      </xdr:style>
      <xdr:txBody>
        <a:bodyPr vertOverflow="clip" rtlCol="0" anchor="ctr"/>
        <a:lstStyle/>
        <a:p>
          <a:pPr algn="ctr"/>
          <a:endParaRPr lang="fr-FR" sz="1100"/>
        </a:p>
      </xdr:txBody>
    </xdr:sp>
    <xdr:clientData/>
  </xdr:twoCellAnchor>
  <xdr:twoCellAnchor>
    <xdr:from>
      <xdr:col>6</xdr:col>
      <xdr:colOff>561974</xdr:colOff>
      <xdr:row>4</xdr:row>
      <xdr:rowOff>162423</xdr:rowOff>
    </xdr:from>
    <xdr:to>
      <xdr:col>8</xdr:col>
      <xdr:colOff>281376</xdr:colOff>
      <xdr:row>14</xdr:row>
      <xdr:rowOff>104270</xdr:rowOff>
    </xdr:to>
    <xdr:sp macro="" textlink="">
      <xdr:nvSpPr>
        <xdr:cNvPr id="4" name="Rectangle à coins arrondis 3"/>
        <xdr:cNvSpPr/>
      </xdr:nvSpPr>
      <xdr:spPr>
        <a:xfrm>
          <a:off x="4676774" y="1305423"/>
          <a:ext cx="1262452" cy="3780422"/>
        </a:xfrm>
        <a:prstGeom prst="roundRect">
          <a:avLst/>
        </a:prstGeom>
        <a:blipFill>
          <a:blip xmlns:r="http://schemas.openxmlformats.org/officeDocument/2006/relationships" r:embed="rId1" cstate="print"/>
          <a:tile tx="0" ty="0" sx="100000" sy="100000" flip="none" algn="tl"/>
        </a:blipFill>
        <a:effectLst>
          <a:glow rad="228600">
            <a:schemeClr val="accent6">
              <a:satMod val="175000"/>
              <a:alpha val="40000"/>
            </a:schemeClr>
          </a:glow>
          <a:outerShdw blurRad="40000" dist="20000" dir="5400000" rotWithShape="0">
            <a:srgbClr val="000000">
              <a:alpha val="38000"/>
            </a:srgbClr>
          </a:outerShdw>
        </a:effectLst>
      </xdr:spPr>
      <xdr:style>
        <a:lnRef idx="3">
          <a:schemeClr val="lt1"/>
        </a:lnRef>
        <a:fillRef idx="1003">
          <a:schemeClr val="lt2"/>
        </a:fillRef>
        <a:effectRef idx="1">
          <a:schemeClr val="accent3"/>
        </a:effectRef>
        <a:fontRef idx="minor">
          <a:schemeClr val="lt1"/>
        </a:fontRef>
      </xdr:style>
      <xdr:txBody>
        <a:bodyPr vertOverflow="clip" rtlCol="0" anchor="ctr"/>
        <a:lstStyle/>
        <a:p>
          <a:pPr algn="ctr"/>
          <a:endParaRPr lang="fr-FR" sz="1100"/>
        </a:p>
      </xdr:txBody>
    </xdr:sp>
    <xdr:clientData/>
  </xdr:twoCellAnchor>
  <xdr:twoCellAnchor>
    <xdr:from>
      <xdr:col>9</xdr:col>
      <xdr:colOff>590550</xdr:colOff>
      <xdr:row>4</xdr:row>
      <xdr:rowOff>141307</xdr:rowOff>
    </xdr:from>
    <xdr:to>
      <xdr:col>11</xdr:col>
      <xdr:colOff>309952</xdr:colOff>
      <xdr:row>14</xdr:row>
      <xdr:rowOff>51564</xdr:rowOff>
    </xdr:to>
    <xdr:sp macro="" textlink="">
      <xdr:nvSpPr>
        <xdr:cNvPr id="5" name="Rectangle à coins arrondis 4"/>
        <xdr:cNvSpPr/>
      </xdr:nvSpPr>
      <xdr:spPr>
        <a:xfrm>
          <a:off x="7010400" y="1284307"/>
          <a:ext cx="1262452" cy="3748832"/>
        </a:xfrm>
        <a:prstGeom prst="roundRect">
          <a:avLst/>
        </a:prstGeom>
        <a:blipFill>
          <a:blip xmlns:r="http://schemas.openxmlformats.org/officeDocument/2006/relationships" r:embed="rId1" cstate="print"/>
          <a:tile tx="0" ty="0" sx="100000" sy="100000" flip="none" algn="tl"/>
        </a:blipFill>
        <a:effectLst>
          <a:glow rad="228600">
            <a:schemeClr val="accent6">
              <a:satMod val="175000"/>
              <a:alpha val="40000"/>
            </a:schemeClr>
          </a:glow>
          <a:outerShdw blurRad="40000" dist="20000" dir="5400000" rotWithShape="0">
            <a:srgbClr val="000000">
              <a:alpha val="38000"/>
            </a:srgbClr>
          </a:outerShdw>
        </a:effectLst>
      </xdr:spPr>
      <xdr:style>
        <a:lnRef idx="3">
          <a:schemeClr val="lt1"/>
        </a:lnRef>
        <a:fillRef idx="1003">
          <a:schemeClr val="lt2"/>
        </a:fillRef>
        <a:effectRef idx="1">
          <a:schemeClr val="accent4"/>
        </a:effectRef>
        <a:fontRef idx="minor">
          <a:schemeClr val="lt1"/>
        </a:fontRef>
      </xdr:style>
      <xdr:txBody>
        <a:bodyPr vertOverflow="clip" rtlCol="0" anchor="ctr"/>
        <a:lstStyle/>
        <a:p>
          <a:pPr algn="ctr"/>
          <a:endParaRPr lang="fr-FR" sz="1100"/>
        </a:p>
      </xdr:txBody>
    </xdr:sp>
    <xdr:clientData/>
  </xdr:twoCellAnchor>
  <xdr:twoCellAnchor>
    <xdr:from>
      <xdr:col>18</xdr:col>
      <xdr:colOff>161925</xdr:colOff>
      <xdr:row>0</xdr:row>
      <xdr:rowOff>38100</xdr:rowOff>
    </xdr:from>
    <xdr:to>
      <xdr:col>18</xdr:col>
      <xdr:colOff>647698</xdr:colOff>
      <xdr:row>0</xdr:row>
      <xdr:rowOff>552450</xdr:rowOff>
    </xdr:to>
    <xdr:sp macro="[0]!FERMASTROEGYPT" textlink="">
      <xdr:nvSpPr>
        <xdr:cNvPr id="6" name="Flèche droite rayée 5"/>
        <xdr:cNvSpPr/>
      </xdr:nvSpPr>
      <xdr:spPr>
        <a:xfrm>
          <a:off x="14297025" y="38100"/>
          <a:ext cx="485773" cy="514350"/>
        </a:xfrm>
        <a:prstGeom prst="stripedRightArrow">
          <a:avLst/>
        </a:prstGeom>
        <a:ln/>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editAs="oneCell">
    <xdr:from>
      <xdr:col>4</xdr:col>
      <xdr:colOff>394335</xdr:colOff>
      <xdr:row>8</xdr:row>
      <xdr:rowOff>30162</xdr:rowOff>
    </xdr:from>
    <xdr:to>
      <xdr:col>6</xdr:col>
      <xdr:colOff>228600</xdr:colOff>
      <xdr:row>11</xdr:row>
      <xdr:rowOff>228600</xdr:rowOff>
    </xdr:to>
    <xdr:pic macro="[0]!RAZSIGNEASTROEGYPT">
      <xdr:nvPicPr>
        <xdr:cNvPr id="45" name="Image 44" descr="691e94caffdd29fbe3e1684e5e3a68ed.jpg"/>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blip>
        <a:srcRect l="8898" t="12712" r="9746" b="19492"/>
        <a:stretch>
          <a:fillRect/>
        </a:stretch>
      </xdr:blipFill>
      <xdr:spPr>
        <a:xfrm>
          <a:off x="2985135" y="2859087"/>
          <a:ext cx="1358265" cy="1131888"/>
        </a:xfrm>
        <a:prstGeom prst="rect">
          <a:avLst/>
        </a:prstGeom>
      </xdr:spPr>
    </xdr:pic>
    <xdr:clientData/>
  </xdr:twoCellAnchor>
  <xdr:twoCellAnchor editAs="oneCell">
    <xdr:from>
      <xdr:col>0</xdr:col>
      <xdr:colOff>111673</xdr:colOff>
      <xdr:row>5</xdr:row>
      <xdr:rowOff>38430</xdr:rowOff>
    </xdr:from>
    <xdr:to>
      <xdr:col>1</xdr:col>
      <xdr:colOff>943283</xdr:colOff>
      <xdr:row>5</xdr:row>
      <xdr:rowOff>519020</xdr:rowOff>
    </xdr:to>
    <xdr:pic>
      <xdr:nvPicPr>
        <xdr:cNvPr id="46" name="Image 45" descr="2664399314_small_1.jpg"/>
        <xdr:cNvPicPr>
          <a:picLocks noChangeAspect="1"/>
        </xdr:cNvPicPr>
      </xdr:nvPicPr>
      <xdr:blipFill>
        <a:blip xmlns:r="http://schemas.openxmlformats.org/officeDocument/2006/relationships" r:embed="rId3" cstate="print"/>
        <a:srcRect l="1765" t="-645" r="67059" b="76452"/>
        <a:stretch>
          <a:fillRect/>
        </a:stretch>
      </xdr:blipFill>
      <xdr:spPr>
        <a:xfrm>
          <a:off x="111673" y="1555861"/>
          <a:ext cx="1015541" cy="480590"/>
        </a:xfrm>
        <a:prstGeom prst="rect">
          <a:avLst/>
        </a:prstGeom>
      </xdr:spPr>
    </xdr:pic>
    <xdr:clientData/>
  </xdr:twoCellAnchor>
  <xdr:twoCellAnchor editAs="oneCell">
    <xdr:from>
      <xdr:col>2</xdr:col>
      <xdr:colOff>121526</xdr:colOff>
      <xdr:row>5</xdr:row>
      <xdr:rowOff>33503</xdr:rowOff>
    </xdr:from>
    <xdr:to>
      <xdr:col>3</xdr:col>
      <xdr:colOff>972241</xdr:colOff>
      <xdr:row>5</xdr:row>
      <xdr:rowOff>539567</xdr:rowOff>
    </xdr:to>
    <xdr:pic>
      <xdr:nvPicPr>
        <xdr:cNvPr id="47" name="Image 46" descr="2664399314_small_1.jpg"/>
        <xdr:cNvPicPr>
          <a:picLocks noChangeAspect="1"/>
        </xdr:cNvPicPr>
      </xdr:nvPicPr>
      <xdr:blipFill>
        <a:blip xmlns:r="http://schemas.openxmlformats.org/officeDocument/2006/relationships" r:embed="rId3" cstate="print"/>
        <a:srcRect l="1373" t="23871" r="66863" b="50645"/>
        <a:stretch>
          <a:fillRect/>
        </a:stretch>
      </xdr:blipFill>
      <xdr:spPr>
        <a:xfrm>
          <a:off x="1422181" y="1550934"/>
          <a:ext cx="1034646" cy="506064"/>
        </a:xfrm>
        <a:prstGeom prst="rect">
          <a:avLst/>
        </a:prstGeom>
      </xdr:spPr>
    </xdr:pic>
    <xdr:clientData/>
  </xdr:twoCellAnchor>
  <xdr:twoCellAnchor editAs="oneCell">
    <xdr:from>
      <xdr:col>2</xdr:col>
      <xdr:colOff>119884</xdr:colOff>
      <xdr:row>7</xdr:row>
      <xdr:rowOff>28247</xdr:rowOff>
    </xdr:from>
    <xdr:to>
      <xdr:col>3</xdr:col>
      <xdr:colOff>976968</xdr:colOff>
      <xdr:row>7</xdr:row>
      <xdr:rowOff>515662</xdr:rowOff>
    </xdr:to>
    <xdr:pic>
      <xdr:nvPicPr>
        <xdr:cNvPr id="48" name="Image 47" descr="2664399314_small_1.jpg"/>
        <xdr:cNvPicPr>
          <a:picLocks noChangeAspect="1"/>
        </xdr:cNvPicPr>
      </xdr:nvPicPr>
      <xdr:blipFill>
        <a:blip xmlns:r="http://schemas.openxmlformats.org/officeDocument/2006/relationships" r:embed="rId3" cstate="print"/>
        <a:srcRect l="34118" r="33922" b="75161"/>
        <a:stretch>
          <a:fillRect/>
        </a:stretch>
      </xdr:blipFill>
      <xdr:spPr>
        <a:xfrm>
          <a:off x="1420539" y="2314247"/>
          <a:ext cx="1041015" cy="487415"/>
        </a:xfrm>
        <a:prstGeom prst="rect">
          <a:avLst/>
        </a:prstGeom>
      </xdr:spPr>
    </xdr:pic>
    <xdr:clientData/>
  </xdr:twoCellAnchor>
  <xdr:twoCellAnchor editAs="oneCell">
    <xdr:from>
      <xdr:col>0</xdr:col>
      <xdr:colOff>120541</xdr:colOff>
      <xdr:row>7</xdr:row>
      <xdr:rowOff>27590</xdr:rowOff>
    </xdr:from>
    <xdr:to>
      <xdr:col>1</xdr:col>
      <xdr:colOff>958519</xdr:colOff>
      <xdr:row>7</xdr:row>
      <xdr:rowOff>515005</xdr:rowOff>
    </xdr:to>
    <xdr:pic>
      <xdr:nvPicPr>
        <xdr:cNvPr id="49" name="Image 48" descr="2664399314_small_1.jpg"/>
        <xdr:cNvPicPr>
          <a:picLocks noChangeAspect="1"/>
        </xdr:cNvPicPr>
      </xdr:nvPicPr>
      <xdr:blipFill>
        <a:blip xmlns:r="http://schemas.openxmlformats.org/officeDocument/2006/relationships" r:embed="rId3" cstate="print"/>
        <a:srcRect l="34313" t="24193" r="34314" b="50968"/>
        <a:stretch>
          <a:fillRect/>
        </a:stretch>
      </xdr:blipFill>
      <xdr:spPr>
        <a:xfrm>
          <a:off x="120541" y="2313590"/>
          <a:ext cx="1021909" cy="487415"/>
        </a:xfrm>
        <a:prstGeom prst="rect">
          <a:avLst/>
        </a:prstGeom>
      </xdr:spPr>
    </xdr:pic>
    <xdr:clientData/>
  </xdr:twoCellAnchor>
  <xdr:twoCellAnchor editAs="oneCell">
    <xdr:from>
      <xdr:col>2</xdr:col>
      <xdr:colOff>134007</xdr:colOff>
      <xdr:row>9</xdr:row>
      <xdr:rowOff>24962</xdr:rowOff>
    </xdr:from>
    <xdr:to>
      <xdr:col>3</xdr:col>
      <xdr:colOff>971985</xdr:colOff>
      <xdr:row>9</xdr:row>
      <xdr:rowOff>508965</xdr:rowOff>
    </xdr:to>
    <xdr:pic>
      <xdr:nvPicPr>
        <xdr:cNvPr id="50" name="Image 49" descr="2664399314_small_1.jpg"/>
        <xdr:cNvPicPr>
          <a:picLocks noChangeAspect="1"/>
        </xdr:cNvPicPr>
      </xdr:nvPicPr>
      <xdr:blipFill>
        <a:blip xmlns:r="http://schemas.openxmlformats.org/officeDocument/2006/relationships" r:embed="rId3" cstate="print"/>
        <a:srcRect l="67255" r="1373" b="75484"/>
        <a:stretch>
          <a:fillRect/>
        </a:stretch>
      </xdr:blipFill>
      <xdr:spPr>
        <a:xfrm>
          <a:off x="1434662" y="3053255"/>
          <a:ext cx="1021909" cy="484003"/>
        </a:xfrm>
        <a:prstGeom prst="rect">
          <a:avLst/>
        </a:prstGeom>
      </xdr:spPr>
    </xdr:pic>
    <xdr:clientData/>
  </xdr:twoCellAnchor>
  <xdr:twoCellAnchor editAs="oneCell">
    <xdr:from>
      <xdr:col>0</xdr:col>
      <xdr:colOff>100835</xdr:colOff>
      <xdr:row>9</xdr:row>
      <xdr:rowOff>26276</xdr:rowOff>
    </xdr:from>
    <xdr:to>
      <xdr:col>1</xdr:col>
      <xdr:colOff>970656</xdr:colOff>
      <xdr:row>9</xdr:row>
      <xdr:rowOff>516502</xdr:rowOff>
    </xdr:to>
    <xdr:pic>
      <xdr:nvPicPr>
        <xdr:cNvPr id="51" name="Image 50" descr="2664399314_small_1.jpg"/>
        <xdr:cNvPicPr>
          <a:picLocks noChangeAspect="1"/>
        </xdr:cNvPicPr>
      </xdr:nvPicPr>
      <xdr:blipFill>
        <a:blip xmlns:r="http://schemas.openxmlformats.org/officeDocument/2006/relationships" r:embed="rId3" cstate="print"/>
        <a:srcRect l="67059" t="24703" r="588" b="50323"/>
        <a:stretch>
          <a:fillRect/>
        </a:stretch>
      </xdr:blipFill>
      <xdr:spPr>
        <a:xfrm>
          <a:off x="100835" y="3054569"/>
          <a:ext cx="1053752" cy="490226"/>
        </a:xfrm>
        <a:prstGeom prst="rect">
          <a:avLst/>
        </a:prstGeom>
      </xdr:spPr>
    </xdr:pic>
    <xdr:clientData/>
  </xdr:twoCellAnchor>
  <xdr:twoCellAnchor editAs="oneCell">
    <xdr:from>
      <xdr:col>2</xdr:col>
      <xdr:colOff>104775</xdr:colOff>
      <xdr:row>11</xdr:row>
      <xdr:rowOff>19050</xdr:rowOff>
    </xdr:from>
    <xdr:to>
      <xdr:col>3</xdr:col>
      <xdr:colOff>1012807</xdr:colOff>
      <xdr:row>11</xdr:row>
      <xdr:rowOff>534895</xdr:rowOff>
    </xdr:to>
    <xdr:pic>
      <xdr:nvPicPr>
        <xdr:cNvPr id="52" name="Image 51" descr="2664399314_small_1.jpg"/>
        <xdr:cNvPicPr>
          <a:picLocks noChangeAspect="1"/>
        </xdr:cNvPicPr>
      </xdr:nvPicPr>
      <xdr:blipFill>
        <a:blip xmlns:r="http://schemas.openxmlformats.org/officeDocument/2006/relationships" r:embed="rId3" cstate="print"/>
        <a:srcRect t="48710" r="66471" b="25161"/>
        <a:stretch>
          <a:fillRect/>
        </a:stretch>
      </xdr:blipFill>
      <xdr:spPr>
        <a:xfrm>
          <a:off x="1400175" y="3781425"/>
          <a:ext cx="1089007" cy="515845"/>
        </a:xfrm>
        <a:prstGeom prst="rect">
          <a:avLst/>
        </a:prstGeom>
      </xdr:spPr>
    </xdr:pic>
    <xdr:clientData/>
  </xdr:twoCellAnchor>
  <xdr:twoCellAnchor editAs="oneCell">
    <xdr:from>
      <xdr:col>0</xdr:col>
      <xdr:colOff>111673</xdr:colOff>
      <xdr:row>11</xdr:row>
      <xdr:rowOff>32518</xdr:rowOff>
    </xdr:from>
    <xdr:to>
      <xdr:col>1</xdr:col>
      <xdr:colOff>968757</xdr:colOff>
      <xdr:row>11</xdr:row>
      <xdr:rowOff>532670</xdr:rowOff>
    </xdr:to>
    <xdr:pic>
      <xdr:nvPicPr>
        <xdr:cNvPr id="53" name="Image 52" descr="2664399314_small_1.jpg"/>
        <xdr:cNvPicPr>
          <a:picLocks noChangeAspect="1"/>
        </xdr:cNvPicPr>
      </xdr:nvPicPr>
      <xdr:blipFill>
        <a:blip xmlns:r="http://schemas.openxmlformats.org/officeDocument/2006/relationships" r:embed="rId3" cstate="print"/>
        <a:srcRect l="33921" t="49355" r="34118" b="25161"/>
        <a:stretch>
          <a:fillRect/>
        </a:stretch>
      </xdr:blipFill>
      <xdr:spPr>
        <a:xfrm>
          <a:off x="111673" y="3789966"/>
          <a:ext cx="1041015" cy="500152"/>
        </a:xfrm>
        <a:prstGeom prst="rect">
          <a:avLst/>
        </a:prstGeom>
      </xdr:spPr>
    </xdr:pic>
    <xdr:clientData/>
  </xdr:twoCellAnchor>
  <xdr:twoCellAnchor editAs="oneCell">
    <xdr:from>
      <xdr:col>0</xdr:col>
      <xdr:colOff>83426</xdr:colOff>
      <xdr:row>13</xdr:row>
      <xdr:rowOff>6569</xdr:rowOff>
    </xdr:from>
    <xdr:to>
      <xdr:col>1</xdr:col>
      <xdr:colOff>991458</xdr:colOff>
      <xdr:row>13</xdr:row>
      <xdr:rowOff>472966</xdr:rowOff>
    </xdr:to>
    <xdr:pic>
      <xdr:nvPicPr>
        <xdr:cNvPr id="54" name="Image 53" descr="2664399314_small_1.jpg"/>
        <xdr:cNvPicPr>
          <a:picLocks noChangeAspect="1"/>
        </xdr:cNvPicPr>
      </xdr:nvPicPr>
      <xdr:blipFill>
        <a:blip xmlns:r="http://schemas.openxmlformats.org/officeDocument/2006/relationships" r:embed="rId3" cstate="print"/>
        <a:srcRect l="66471" t="49869" b="26371"/>
        <a:stretch>
          <a:fillRect/>
        </a:stretch>
      </xdr:blipFill>
      <xdr:spPr>
        <a:xfrm>
          <a:off x="83426" y="4506310"/>
          <a:ext cx="1091963" cy="466397"/>
        </a:xfrm>
        <a:prstGeom prst="rect">
          <a:avLst/>
        </a:prstGeom>
      </xdr:spPr>
    </xdr:pic>
    <xdr:clientData/>
  </xdr:twoCellAnchor>
  <xdr:twoCellAnchor editAs="oneCell">
    <xdr:from>
      <xdr:col>2</xdr:col>
      <xdr:colOff>124810</xdr:colOff>
      <xdr:row>13</xdr:row>
      <xdr:rowOff>19707</xdr:rowOff>
    </xdr:from>
    <xdr:to>
      <xdr:col>3</xdr:col>
      <xdr:colOff>1002222</xdr:colOff>
      <xdr:row>13</xdr:row>
      <xdr:rowOff>471978</xdr:rowOff>
    </xdr:to>
    <xdr:pic>
      <xdr:nvPicPr>
        <xdr:cNvPr id="55" name="Image 54" descr="2664399314_small_1.jpg"/>
        <xdr:cNvPicPr>
          <a:picLocks noChangeAspect="1"/>
        </xdr:cNvPicPr>
      </xdr:nvPicPr>
      <xdr:blipFill>
        <a:blip xmlns:r="http://schemas.openxmlformats.org/officeDocument/2006/relationships" r:embed="rId3" cstate="print"/>
        <a:srcRect l="1312" t="75662" r="66078" b="1290"/>
        <a:stretch>
          <a:fillRect/>
        </a:stretch>
      </xdr:blipFill>
      <xdr:spPr>
        <a:xfrm>
          <a:off x="1425465" y="4519448"/>
          <a:ext cx="1061343" cy="452271"/>
        </a:xfrm>
        <a:prstGeom prst="rect">
          <a:avLst/>
        </a:prstGeom>
      </xdr:spPr>
    </xdr:pic>
    <xdr:clientData/>
  </xdr:twoCellAnchor>
  <xdr:twoCellAnchor editAs="oneCell">
    <xdr:from>
      <xdr:col>0</xdr:col>
      <xdr:colOff>99520</xdr:colOff>
      <xdr:row>15</xdr:row>
      <xdr:rowOff>11496</xdr:rowOff>
    </xdr:from>
    <xdr:to>
      <xdr:col>1</xdr:col>
      <xdr:colOff>956604</xdr:colOff>
      <xdr:row>15</xdr:row>
      <xdr:rowOff>498911</xdr:rowOff>
    </xdr:to>
    <xdr:pic>
      <xdr:nvPicPr>
        <xdr:cNvPr id="56" name="Image 55" descr="2664399314_small_1.jpg"/>
        <xdr:cNvPicPr>
          <a:picLocks noChangeAspect="1"/>
        </xdr:cNvPicPr>
      </xdr:nvPicPr>
      <xdr:blipFill>
        <a:blip xmlns:r="http://schemas.openxmlformats.org/officeDocument/2006/relationships" r:embed="rId3" cstate="print"/>
        <a:srcRect l="34117" t="74194" r="33922" b="968"/>
        <a:stretch>
          <a:fillRect/>
        </a:stretch>
      </xdr:blipFill>
      <xdr:spPr>
        <a:xfrm>
          <a:off x="99520" y="5187841"/>
          <a:ext cx="1041015" cy="487415"/>
        </a:xfrm>
        <a:prstGeom prst="rect">
          <a:avLst/>
        </a:prstGeom>
      </xdr:spPr>
    </xdr:pic>
    <xdr:clientData/>
  </xdr:twoCellAnchor>
  <xdr:twoCellAnchor editAs="oneCell">
    <xdr:from>
      <xdr:col>2</xdr:col>
      <xdr:colOff>68646</xdr:colOff>
      <xdr:row>15</xdr:row>
      <xdr:rowOff>32845</xdr:rowOff>
    </xdr:from>
    <xdr:to>
      <xdr:col>3</xdr:col>
      <xdr:colOff>983046</xdr:colOff>
      <xdr:row>15</xdr:row>
      <xdr:rowOff>491886</xdr:rowOff>
    </xdr:to>
    <xdr:pic>
      <xdr:nvPicPr>
        <xdr:cNvPr id="57" name="Image 56" descr="2664399314_small_1.jpg"/>
        <xdr:cNvPicPr>
          <a:picLocks noChangeAspect="1"/>
        </xdr:cNvPicPr>
      </xdr:nvPicPr>
      <xdr:blipFill>
        <a:blip xmlns:r="http://schemas.openxmlformats.org/officeDocument/2006/relationships" r:embed="rId3" cstate="print"/>
        <a:srcRect l="66275" t="75637" b="968"/>
        <a:stretch>
          <a:fillRect/>
        </a:stretch>
      </xdr:blipFill>
      <xdr:spPr>
        <a:xfrm>
          <a:off x="1369301" y="5209190"/>
          <a:ext cx="1098331" cy="459041"/>
        </a:xfrm>
        <a:prstGeom prst="rect">
          <a:avLst/>
        </a:prstGeom>
      </xdr:spPr>
    </xdr:pic>
    <xdr:clientData/>
  </xdr:twoCellAnchor>
  <xdr:twoCellAnchor editAs="oneCell">
    <xdr:from>
      <xdr:col>15</xdr:col>
      <xdr:colOff>680650</xdr:colOff>
      <xdr:row>6</xdr:row>
      <xdr:rowOff>19051</xdr:rowOff>
    </xdr:from>
    <xdr:to>
      <xdr:col>17</xdr:col>
      <xdr:colOff>150185</xdr:colOff>
      <xdr:row>7</xdr:row>
      <xdr:rowOff>296660</xdr:rowOff>
    </xdr:to>
    <xdr:pic>
      <xdr:nvPicPr>
        <xdr:cNvPr id="58" name="Image 57" descr="2664399314_small_1.jpg"/>
        <xdr:cNvPicPr>
          <a:picLocks noChangeAspect="1"/>
        </xdr:cNvPicPr>
      </xdr:nvPicPr>
      <xdr:blipFill>
        <a:blip xmlns:r="http://schemas.openxmlformats.org/officeDocument/2006/relationships" r:embed="rId3" cstate="print"/>
        <a:srcRect l="1765" t="-645" r="67059" b="76452"/>
        <a:stretch>
          <a:fillRect/>
        </a:stretch>
      </xdr:blipFill>
      <xdr:spPr>
        <a:xfrm rot="84059">
          <a:off x="11710600" y="2105026"/>
          <a:ext cx="1012585" cy="477634"/>
        </a:xfrm>
        <a:prstGeom prst="rect">
          <a:avLst/>
        </a:prstGeom>
      </xdr:spPr>
    </xdr:pic>
    <xdr:clientData/>
  </xdr:twoCellAnchor>
  <xdr:twoCellAnchor editAs="oneCell">
    <xdr:from>
      <xdr:col>12</xdr:col>
      <xdr:colOff>752473</xdr:colOff>
      <xdr:row>6</xdr:row>
      <xdr:rowOff>40964</xdr:rowOff>
    </xdr:from>
    <xdr:to>
      <xdr:col>14</xdr:col>
      <xdr:colOff>222008</xdr:colOff>
      <xdr:row>7</xdr:row>
      <xdr:rowOff>318573</xdr:rowOff>
    </xdr:to>
    <xdr:pic>
      <xdr:nvPicPr>
        <xdr:cNvPr id="59" name="Image 58" descr="2664399314_small_1.jpg"/>
        <xdr:cNvPicPr>
          <a:picLocks noChangeAspect="1"/>
        </xdr:cNvPicPr>
      </xdr:nvPicPr>
      <xdr:blipFill>
        <a:blip xmlns:r="http://schemas.openxmlformats.org/officeDocument/2006/relationships" r:embed="rId3" cstate="print"/>
        <a:srcRect l="1765" t="-645" r="67059" b="76452"/>
        <a:stretch>
          <a:fillRect/>
        </a:stretch>
      </xdr:blipFill>
      <xdr:spPr>
        <a:xfrm rot="84059">
          <a:off x="9477373" y="2126939"/>
          <a:ext cx="1012585" cy="477634"/>
        </a:xfrm>
        <a:prstGeom prst="rect">
          <a:avLst/>
        </a:prstGeom>
      </xdr:spPr>
    </xdr:pic>
    <xdr:clientData/>
  </xdr:twoCellAnchor>
  <xdr:twoCellAnchor editAs="oneCell">
    <xdr:from>
      <xdr:col>12</xdr:col>
      <xdr:colOff>742948</xdr:colOff>
      <xdr:row>9</xdr:row>
      <xdr:rowOff>221937</xdr:rowOff>
    </xdr:from>
    <xdr:to>
      <xdr:col>14</xdr:col>
      <xdr:colOff>231588</xdr:colOff>
      <xdr:row>10</xdr:row>
      <xdr:rowOff>191645</xdr:rowOff>
    </xdr:to>
    <xdr:pic>
      <xdr:nvPicPr>
        <xdr:cNvPr id="60" name="Image 59" descr="2664399314_small_1.jpg"/>
        <xdr:cNvPicPr>
          <a:picLocks noChangeAspect="1"/>
        </xdr:cNvPicPr>
      </xdr:nvPicPr>
      <xdr:blipFill>
        <a:blip xmlns:r="http://schemas.openxmlformats.org/officeDocument/2006/relationships" r:embed="rId3" cstate="print"/>
        <a:srcRect l="1373" t="23871" r="66863" b="50645"/>
        <a:stretch>
          <a:fillRect/>
        </a:stretch>
      </xdr:blipFill>
      <xdr:spPr>
        <a:xfrm rot="84059">
          <a:off x="9467848" y="3250887"/>
          <a:ext cx="1031690" cy="503108"/>
        </a:xfrm>
        <a:prstGeom prst="rect">
          <a:avLst/>
        </a:prstGeom>
      </xdr:spPr>
    </xdr:pic>
    <xdr:clientData/>
  </xdr:twoCellAnchor>
  <xdr:twoCellAnchor editAs="oneCell">
    <xdr:from>
      <xdr:col>15</xdr:col>
      <xdr:colOff>709223</xdr:colOff>
      <xdr:row>11</xdr:row>
      <xdr:rowOff>47626</xdr:rowOff>
    </xdr:from>
    <xdr:to>
      <xdr:col>17</xdr:col>
      <xdr:colOff>197863</xdr:colOff>
      <xdr:row>12</xdr:row>
      <xdr:rowOff>7809</xdr:rowOff>
    </xdr:to>
    <xdr:pic>
      <xdr:nvPicPr>
        <xdr:cNvPr id="61" name="Image 60" descr="2664399314_small_1.jpg"/>
        <xdr:cNvPicPr>
          <a:picLocks noChangeAspect="1"/>
        </xdr:cNvPicPr>
      </xdr:nvPicPr>
      <xdr:blipFill>
        <a:blip xmlns:r="http://schemas.openxmlformats.org/officeDocument/2006/relationships" r:embed="rId3" cstate="print"/>
        <a:srcRect l="1373" t="23871" r="66863" b="50645"/>
        <a:stretch>
          <a:fillRect/>
        </a:stretch>
      </xdr:blipFill>
      <xdr:spPr>
        <a:xfrm rot="84059">
          <a:off x="11739173" y="3810001"/>
          <a:ext cx="1031690" cy="503108"/>
        </a:xfrm>
        <a:prstGeom prst="rect">
          <a:avLst/>
        </a:prstGeom>
      </xdr:spPr>
    </xdr:pic>
    <xdr:clientData/>
  </xdr:twoCellAnchor>
  <xdr:twoCellAnchor editAs="oneCell">
    <xdr:from>
      <xdr:col>6</xdr:col>
      <xdr:colOff>685800</xdr:colOff>
      <xdr:row>12</xdr:row>
      <xdr:rowOff>66676</xdr:rowOff>
    </xdr:from>
    <xdr:to>
      <xdr:col>8</xdr:col>
      <xdr:colOff>174440</xdr:colOff>
      <xdr:row>13</xdr:row>
      <xdr:rowOff>369759</xdr:rowOff>
    </xdr:to>
    <xdr:pic>
      <xdr:nvPicPr>
        <xdr:cNvPr id="62" name="Image 61" descr="2664399314_small_1.jpg"/>
        <xdr:cNvPicPr>
          <a:picLocks noChangeAspect="1"/>
        </xdr:cNvPicPr>
      </xdr:nvPicPr>
      <xdr:blipFill>
        <a:blip xmlns:r="http://schemas.openxmlformats.org/officeDocument/2006/relationships" r:embed="rId3" cstate="print"/>
        <a:srcRect l="1373" t="23871" r="66863" b="50645"/>
        <a:stretch>
          <a:fillRect/>
        </a:stretch>
      </xdr:blipFill>
      <xdr:spPr>
        <a:xfrm rot="84059">
          <a:off x="4800600" y="4371976"/>
          <a:ext cx="1031690" cy="503108"/>
        </a:xfrm>
        <a:prstGeom prst="rect">
          <a:avLst/>
        </a:prstGeom>
      </xdr:spPr>
    </xdr:pic>
    <xdr:clientData/>
  </xdr:twoCellAnchor>
  <xdr:twoCellAnchor editAs="oneCell">
    <xdr:from>
      <xdr:col>9</xdr:col>
      <xdr:colOff>714375</xdr:colOff>
      <xdr:row>11</xdr:row>
      <xdr:rowOff>104776</xdr:rowOff>
    </xdr:from>
    <xdr:to>
      <xdr:col>11</xdr:col>
      <xdr:colOff>209384</xdr:colOff>
      <xdr:row>12</xdr:row>
      <xdr:rowOff>52222</xdr:rowOff>
    </xdr:to>
    <xdr:pic>
      <xdr:nvPicPr>
        <xdr:cNvPr id="63" name="Image 62" descr="2664399314_small_1.jpg"/>
        <xdr:cNvPicPr>
          <a:picLocks noChangeAspect="1"/>
        </xdr:cNvPicPr>
      </xdr:nvPicPr>
      <xdr:blipFill>
        <a:blip xmlns:r="http://schemas.openxmlformats.org/officeDocument/2006/relationships" r:embed="rId3" cstate="print"/>
        <a:srcRect l="34118" r="33922" b="75161"/>
        <a:stretch>
          <a:fillRect/>
        </a:stretch>
      </xdr:blipFill>
      <xdr:spPr>
        <a:xfrm rot="84059">
          <a:off x="7134225" y="3867151"/>
          <a:ext cx="1038059" cy="490371"/>
        </a:xfrm>
        <a:prstGeom prst="rect">
          <a:avLst/>
        </a:prstGeom>
      </xdr:spPr>
    </xdr:pic>
    <xdr:clientData/>
  </xdr:twoCellAnchor>
  <xdr:twoCellAnchor editAs="oneCell">
    <xdr:from>
      <xdr:col>6</xdr:col>
      <xdr:colOff>676275</xdr:colOff>
      <xdr:row>9</xdr:row>
      <xdr:rowOff>209549</xdr:rowOff>
    </xdr:from>
    <xdr:to>
      <xdr:col>8</xdr:col>
      <xdr:colOff>171284</xdr:colOff>
      <xdr:row>10</xdr:row>
      <xdr:rowOff>166520</xdr:rowOff>
    </xdr:to>
    <xdr:pic>
      <xdr:nvPicPr>
        <xdr:cNvPr id="64" name="Image 63" descr="2664399314_small_1.jpg"/>
        <xdr:cNvPicPr>
          <a:picLocks noChangeAspect="1"/>
        </xdr:cNvPicPr>
      </xdr:nvPicPr>
      <xdr:blipFill>
        <a:blip xmlns:r="http://schemas.openxmlformats.org/officeDocument/2006/relationships" r:embed="rId3" cstate="print"/>
        <a:srcRect l="34118" r="33922" b="75161"/>
        <a:stretch>
          <a:fillRect/>
        </a:stretch>
      </xdr:blipFill>
      <xdr:spPr>
        <a:xfrm rot="84059">
          <a:off x="4791075" y="3238499"/>
          <a:ext cx="1038059" cy="490371"/>
        </a:xfrm>
        <a:prstGeom prst="rect">
          <a:avLst/>
        </a:prstGeom>
      </xdr:spPr>
    </xdr:pic>
    <xdr:clientData/>
  </xdr:twoCellAnchor>
  <xdr:twoCellAnchor editAs="oneCell">
    <xdr:from>
      <xdr:col>12</xdr:col>
      <xdr:colOff>752473</xdr:colOff>
      <xdr:row>7</xdr:row>
      <xdr:rowOff>383862</xdr:rowOff>
    </xdr:from>
    <xdr:to>
      <xdr:col>14</xdr:col>
      <xdr:colOff>228376</xdr:colOff>
      <xdr:row>9</xdr:row>
      <xdr:rowOff>131283</xdr:rowOff>
    </xdr:to>
    <xdr:pic>
      <xdr:nvPicPr>
        <xdr:cNvPr id="65" name="Image 64" descr="2664399314_small_1.jpg"/>
        <xdr:cNvPicPr>
          <a:picLocks noChangeAspect="1"/>
        </xdr:cNvPicPr>
      </xdr:nvPicPr>
      <xdr:blipFill>
        <a:blip xmlns:r="http://schemas.openxmlformats.org/officeDocument/2006/relationships" r:embed="rId3" cstate="print"/>
        <a:srcRect l="34313" t="24193" r="34314" b="50968"/>
        <a:stretch>
          <a:fillRect/>
        </a:stretch>
      </xdr:blipFill>
      <xdr:spPr>
        <a:xfrm rot="84059">
          <a:off x="9477373" y="2669862"/>
          <a:ext cx="1018953" cy="490371"/>
        </a:xfrm>
        <a:prstGeom prst="rect">
          <a:avLst/>
        </a:prstGeom>
      </xdr:spPr>
    </xdr:pic>
    <xdr:clientData/>
  </xdr:twoCellAnchor>
  <xdr:twoCellAnchor editAs="oneCell">
    <xdr:from>
      <xdr:col>6</xdr:col>
      <xdr:colOff>695325</xdr:colOff>
      <xdr:row>5</xdr:row>
      <xdr:rowOff>514349</xdr:rowOff>
    </xdr:from>
    <xdr:to>
      <xdr:col>8</xdr:col>
      <xdr:colOff>171228</xdr:colOff>
      <xdr:row>7</xdr:row>
      <xdr:rowOff>233195</xdr:rowOff>
    </xdr:to>
    <xdr:pic>
      <xdr:nvPicPr>
        <xdr:cNvPr id="66" name="Image 65" descr="2664399314_small_1.jpg"/>
        <xdr:cNvPicPr>
          <a:picLocks noChangeAspect="1"/>
        </xdr:cNvPicPr>
      </xdr:nvPicPr>
      <xdr:blipFill>
        <a:blip xmlns:r="http://schemas.openxmlformats.org/officeDocument/2006/relationships" r:embed="rId3" cstate="print"/>
        <a:srcRect l="34313" t="24193" r="34314" b="50968"/>
        <a:stretch>
          <a:fillRect/>
        </a:stretch>
      </xdr:blipFill>
      <xdr:spPr>
        <a:xfrm rot="84059">
          <a:off x="4810125" y="2028824"/>
          <a:ext cx="1018953" cy="490371"/>
        </a:xfrm>
        <a:prstGeom prst="rect">
          <a:avLst/>
        </a:prstGeom>
      </xdr:spPr>
    </xdr:pic>
    <xdr:clientData/>
  </xdr:twoCellAnchor>
  <xdr:twoCellAnchor editAs="oneCell">
    <xdr:from>
      <xdr:col>12</xdr:col>
      <xdr:colOff>723897</xdr:colOff>
      <xdr:row>5</xdr:row>
      <xdr:rowOff>2863</xdr:rowOff>
    </xdr:from>
    <xdr:to>
      <xdr:col>14</xdr:col>
      <xdr:colOff>231643</xdr:colOff>
      <xdr:row>5</xdr:row>
      <xdr:rowOff>518708</xdr:rowOff>
    </xdr:to>
    <xdr:pic>
      <xdr:nvPicPr>
        <xdr:cNvPr id="67" name="Image 66" descr="2664399314_small_1.jpg"/>
        <xdr:cNvPicPr>
          <a:picLocks noChangeAspect="1"/>
        </xdr:cNvPicPr>
      </xdr:nvPicPr>
      <xdr:blipFill>
        <a:blip xmlns:r="http://schemas.openxmlformats.org/officeDocument/2006/relationships" r:embed="rId3" cstate="print"/>
        <a:srcRect l="67059" t="23548" r="588" b="50323"/>
        <a:stretch>
          <a:fillRect/>
        </a:stretch>
      </xdr:blipFill>
      <xdr:spPr>
        <a:xfrm rot="84059">
          <a:off x="9448797" y="1517338"/>
          <a:ext cx="1050796" cy="515845"/>
        </a:xfrm>
        <a:prstGeom prst="rect">
          <a:avLst/>
        </a:prstGeom>
      </xdr:spPr>
    </xdr:pic>
    <xdr:clientData/>
  </xdr:twoCellAnchor>
  <xdr:twoCellAnchor editAs="oneCell">
    <xdr:from>
      <xdr:col>6</xdr:col>
      <xdr:colOff>685802</xdr:colOff>
      <xdr:row>11</xdr:row>
      <xdr:rowOff>38098</xdr:rowOff>
    </xdr:from>
    <xdr:to>
      <xdr:col>8</xdr:col>
      <xdr:colOff>193548</xdr:colOff>
      <xdr:row>12</xdr:row>
      <xdr:rowOff>11018</xdr:rowOff>
    </xdr:to>
    <xdr:pic>
      <xdr:nvPicPr>
        <xdr:cNvPr id="68" name="Image 67" descr="2664399314_small_1.jpg"/>
        <xdr:cNvPicPr>
          <a:picLocks noChangeAspect="1"/>
        </xdr:cNvPicPr>
      </xdr:nvPicPr>
      <xdr:blipFill>
        <a:blip xmlns:r="http://schemas.openxmlformats.org/officeDocument/2006/relationships" r:embed="rId3" cstate="print"/>
        <a:srcRect l="67059" t="23548" r="588" b="50323"/>
        <a:stretch>
          <a:fillRect/>
        </a:stretch>
      </xdr:blipFill>
      <xdr:spPr>
        <a:xfrm rot="84059">
          <a:off x="4800602" y="3800473"/>
          <a:ext cx="1050796" cy="515845"/>
        </a:xfrm>
        <a:prstGeom prst="rect">
          <a:avLst/>
        </a:prstGeom>
      </xdr:spPr>
    </xdr:pic>
    <xdr:clientData/>
  </xdr:twoCellAnchor>
  <xdr:twoCellAnchor editAs="oneCell">
    <xdr:from>
      <xdr:col>9</xdr:col>
      <xdr:colOff>733425</xdr:colOff>
      <xdr:row>12</xdr:row>
      <xdr:rowOff>114298</xdr:rowOff>
    </xdr:from>
    <xdr:to>
      <xdr:col>11</xdr:col>
      <xdr:colOff>241171</xdr:colOff>
      <xdr:row>13</xdr:row>
      <xdr:rowOff>430118</xdr:rowOff>
    </xdr:to>
    <xdr:pic>
      <xdr:nvPicPr>
        <xdr:cNvPr id="69" name="Image 68" descr="2664399314_small_1.jpg"/>
        <xdr:cNvPicPr>
          <a:picLocks noChangeAspect="1"/>
        </xdr:cNvPicPr>
      </xdr:nvPicPr>
      <xdr:blipFill>
        <a:blip xmlns:r="http://schemas.openxmlformats.org/officeDocument/2006/relationships" r:embed="rId3" cstate="print"/>
        <a:srcRect l="67059" t="23548" r="588" b="50323"/>
        <a:stretch>
          <a:fillRect/>
        </a:stretch>
      </xdr:blipFill>
      <xdr:spPr>
        <a:xfrm rot="84059">
          <a:off x="7153275" y="4419598"/>
          <a:ext cx="1050796" cy="515845"/>
        </a:xfrm>
        <a:prstGeom prst="rect">
          <a:avLst/>
        </a:prstGeom>
      </xdr:spPr>
    </xdr:pic>
    <xdr:clientData/>
  </xdr:twoCellAnchor>
  <xdr:twoCellAnchor editAs="oneCell">
    <xdr:from>
      <xdr:col>6</xdr:col>
      <xdr:colOff>704850</xdr:colOff>
      <xdr:row>4</xdr:row>
      <xdr:rowOff>323848</xdr:rowOff>
    </xdr:from>
    <xdr:to>
      <xdr:col>8</xdr:col>
      <xdr:colOff>180753</xdr:colOff>
      <xdr:row>5</xdr:row>
      <xdr:rowOff>436376</xdr:rowOff>
    </xdr:to>
    <xdr:pic>
      <xdr:nvPicPr>
        <xdr:cNvPr id="70" name="Image 69" descr="2664399314_small_1.jpg"/>
        <xdr:cNvPicPr>
          <a:picLocks noChangeAspect="1"/>
        </xdr:cNvPicPr>
      </xdr:nvPicPr>
      <xdr:blipFill>
        <a:blip xmlns:r="http://schemas.openxmlformats.org/officeDocument/2006/relationships" r:embed="rId3" cstate="print"/>
        <a:srcRect l="67255" r="1373" b="75484"/>
        <a:stretch>
          <a:fillRect/>
        </a:stretch>
      </xdr:blipFill>
      <xdr:spPr>
        <a:xfrm rot="84059">
          <a:off x="4819650" y="1466848"/>
          <a:ext cx="1018953" cy="484003"/>
        </a:xfrm>
        <a:prstGeom prst="rect">
          <a:avLst/>
        </a:prstGeom>
      </xdr:spPr>
    </xdr:pic>
    <xdr:clientData/>
  </xdr:twoCellAnchor>
  <xdr:twoCellAnchor editAs="oneCell">
    <xdr:from>
      <xdr:col>12</xdr:col>
      <xdr:colOff>761997</xdr:colOff>
      <xdr:row>12</xdr:row>
      <xdr:rowOff>88590</xdr:rowOff>
    </xdr:from>
    <xdr:to>
      <xdr:col>14</xdr:col>
      <xdr:colOff>257006</xdr:colOff>
      <xdr:row>13</xdr:row>
      <xdr:rowOff>391673</xdr:rowOff>
    </xdr:to>
    <xdr:pic>
      <xdr:nvPicPr>
        <xdr:cNvPr id="71" name="Image 70" descr="2664399314_small_1.jpg"/>
        <xdr:cNvPicPr>
          <a:picLocks noChangeAspect="1"/>
        </xdr:cNvPicPr>
      </xdr:nvPicPr>
      <xdr:blipFill>
        <a:blip xmlns:r="http://schemas.openxmlformats.org/officeDocument/2006/relationships" r:embed="rId3" cstate="print"/>
        <a:srcRect l="33921" t="49355" r="34118" b="25161"/>
        <a:stretch>
          <a:fillRect/>
        </a:stretch>
      </xdr:blipFill>
      <xdr:spPr>
        <a:xfrm rot="84059">
          <a:off x="9486897" y="4393890"/>
          <a:ext cx="1038059" cy="503108"/>
        </a:xfrm>
        <a:prstGeom prst="rect">
          <a:avLst/>
        </a:prstGeom>
      </xdr:spPr>
    </xdr:pic>
    <xdr:clientData/>
  </xdr:twoCellAnchor>
  <xdr:twoCellAnchor editAs="oneCell">
    <xdr:from>
      <xdr:col>15</xdr:col>
      <xdr:colOff>699699</xdr:colOff>
      <xdr:row>12</xdr:row>
      <xdr:rowOff>114301</xdr:rowOff>
    </xdr:from>
    <xdr:to>
      <xdr:col>17</xdr:col>
      <xdr:colOff>194708</xdr:colOff>
      <xdr:row>13</xdr:row>
      <xdr:rowOff>417384</xdr:rowOff>
    </xdr:to>
    <xdr:pic>
      <xdr:nvPicPr>
        <xdr:cNvPr id="72" name="Image 71" descr="2664399314_small_1.jpg"/>
        <xdr:cNvPicPr>
          <a:picLocks noChangeAspect="1"/>
        </xdr:cNvPicPr>
      </xdr:nvPicPr>
      <xdr:blipFill>
        <a:blip xmlns:r="http://schemas.openxmlformats.org/officeDocument/2006/relationships" r:embed="rId3" cstate="print"/>
        <a:srcRect l="33921" t="49355" r="34118" b="25161"/>
        <a:stretch>
          <a:fillRect/>
        </a:stretch>
      </xdr:blipFill>
      <xdr:spPr>
        <a:xfrm rot="84059">
          <a:off x="11729649" y="4419601"/>
          <a:ext cx="1038059" cy="503108"/>
        </a:xfrm>
        <a:prstGeom prst="rect">
          <a:avLst/>
        </a:prstGeom>
      </xdr:spPr>
    </xdr:pic>
    <xdr:clientData/>
  </xdr:twoCellAnchor>
  <xdr:twoCellAnchor editAs="oneCell">
    <xdr:from>
      <xdr:col>9</xdr:col>
      <xdr:colOff>733425</xdr:colOff>
      <xdr:row>9</xdr:row>
      <xdr:rowOff>238126</xdr:rowOff>
    </xdr:from>
    <xdr:to>
      <xdr:col>11</xdr:col>
      <xdr:colOff>228434</xdr:colOff>
      <xdr:row>11</xdr:row>
      <xdr:rowOff>7809</xdr:rowOff>
    </xdr:to>
    <xdr:pic>
      <xdr:nvPicPr>
        <xdr:cNvPr id="73" name="Image 72" descr="2664399314_small_1.jpg"/>
        <xdr:cNvPicPr>
          <a:picLocks noChangeAspect="1"/>
        </xdr:cNvPicPr>
      </xdr:nvPicPr>
      <xdr:blipFill>
        <a:blip xmlns:r="http://schemas.openxmlformats.org/officeDocument/2006/relationships" r:embed="rId3" cstate="print"/>
        <a:srcRect l="33921" t="49355" r="34118" b="25161"/>
        <a:stretch>
          <a:fillRect/>
        </a:stretch>
      </xdr:blipFill>
      <xdr:spPr>
        <a:xfrm rot="84059">
          <a:off x="7153275" y="3267076"/>
          <a:ext cx="1038059" cy="503108"/>
        </a:xfrm>
        <a:prstGeom prst="rect">
          <a:avLst/>
        </a:prstGeom>
      </xdr:spPr>
    </xdr:pic>
    <xdr:clientData/>
  </xdr:twoCellAnchor>
  <xdr:twoCellAnchor editAs="oneCell">
    <xdr:from>
      <xdr:col>15</xdr:col>
      <xdr:colOff>642548</xdr:colOff>
      <xdr:row>7</xdr:row>
      <xdr:rowOff>390525</xdr:rowOff>
    </xdr:from>
    <xdr:to>
      <xdr:col>17</xdr:col>
      <xdr:colOff>188505</xdr:colOff>
      <xdr:row>9</xdr:row>
      <xdr:rowOff>163420</xdr:rowOff>
    </xdr:to>
    <xdr:pic>
      <xdr:nvPicPr>
        <xdr:cNvPr id="74" name="Image 73" descr="2664399314_small_1.jpg"/>
        <xdr:cNvPicPr>
          <a:picLocks noChangeAspect="1"/>
        </xdr:cNvPicPr>
      </xdr:nvPicPr>
      <xdr:blipFill>
        <a:blip xmlns:r="http://schemas.openxmlformats.org/officeDocument/2006/relationships" r:embed="rId3" cstate="print"/>
        <a:srcRect t="48710" r="66471" b="25161"/>
        <a:stretch>
          <a:fillRect/>
        </a:stretch>
      </xdr:blipFill>
      <xdr:spPr>
        <a:xfrm rot="84059">
          <a:off x="11672498" y="2676525"/>
          <a:ext cx="1089007" cy="515845"/>
        </a:xfrm>
        <a:prstGeom prst="rect">
          <a:avLst/>
        </a:prstGeom>
      </xdr:spPr>
    </xdr:pic>
    <xdr:clientData/>
  </xdr:twoCellAnchor>
  <xdr:twoCellAnchor editAs="oneCell">
    <xdr:from>
      <xdr:col>6</xdr:col>
      <xdr:colOff>647701</xdr:colOff>
      <xdr:row>7</xdr:row>
      <xdr:rowOff>352424</xdr:rowOff>
    </xdr:from>
    <xdr:to>
      <xdr:col>8</xdr:col>
      <xdr:colOff>193658</xdr:colOff>
      <xdr:row>9</xdr:row>
      <xdr:rowOff>125319</xdr:rowOff>
    </xdr:to>
    <xdr:pic>
      <xdr:nvPicPr>
        <xdr:cNvPr id="75" name="Image 74" descr="2664399314_small_1.jpg"/>
        <xdr:cNvPicPr>
          <a:picLocks noChangeAspect="1"/>
        </xdr:cNvPicPr>
      </xdr:nvPicPr>
      <xdr:blipFill>
        <a:blip xmlns:r="http://schemas.openxmlformats.org/officeDocument/2006/relationships" r:embed="rId3" cstate="print"/>
        <a:srcRect t="48710" r="66471" b="25161"/>
        <a:stretch>
          <a:fillRect/>
        </a:stretch>
      </xdr:blipFill>
      <xdr:spPr>
        <a:xfrm rot="84059">
          <a:off x="4762501" y="2638424"/>
          <a:ext cx="1089007" cy="515845"/>
        </a:xfrm>
        <a:prstGeom prst="rect">
          <a:avLst/>
        </a:prstGeom>
      </xdr:spPr>
    </xdr:pic>
    <xdr:clientData/>
  </xdr:twoCellAnchor>
  <xdr:twoCellAnchor editAs="oneCell">
    <xdr:from>
      <xdr:col>15</xdr:col>
      <xdr:colOff>661599</xdr:colOff>
      <xdr:row>5</xdr:row>
      <xdr:rowOff>9524</xdr:rowOff>
    </xdr:from>
    <xdr:to>
      <xdr:col>17</xdr:col>
      <xdr:colOff>220292</xdr:colOff>
      <xdr:row>5</xdr:row>
      <xdr:rowOff>499895</xdr:rowOff>
    </xdr:to>
    <xdr:pic>
      <xdr:nvPicPr>
        <xdr:cNvPr id="76" name="Image 75" descr="2664399314_small_1.jpg"/>
        <xdr:cNvPicPr>
          <a:picLocks noChangeAspect="1"/>
        </xdr:cNvPicPr>
      </xdr:nvPicPr>
      <xdr:blipFill>
        <a:blip xmlns:r="http://schemas.openxmlformats.org/officeDocument/2006/relationships" r:embed="rId3" cstate="print"/>
        <a:srcRect t="73871" r="66078" b="1290"/>
        <a:stretch>
          <a:fillRect/>
        </a:stretch>
      </xdr:blipFill>
      <xdr:spPr>
        <a:xfrm rot="84059">
          <a:off x="11691549" y="1523999"/>
          <a:ext cx="1101743" cy="490371"/>
        </a:xfrm>
        <a:prstGeom prst="rect">
          <a:avLst/>
        </a:prstGeom>
      </xdr:spPr>
    </xdr:pic>
    <xdr:clientData/>
  </xdr:twoCellAnchor>
  <xdr:twoCellAnchor editAs="oneCell">
    <xdr:from>
      <xdr:col>12</xdr:col>
      <xdr:colOff>714374</xdr:colOff>
      <xdr:row>11</xdr:row>
      <xdr:rowOff>50486</xdr:rowOff>
    </xdr:from>
    <xdr:to>
      <xdr:col>14</xdr:col>
      <xdr:colOff>260331</xdr:colOff>
      <xdr:row>12</xdr:row>
      <xdr:rowOff>23406</xdr:rowOff>
    </xdr:to>
    <xdr:pic>
      <xdr:nvPicPr>
        <xdr:cNvPr id="77" name="Image 76" descr="2664399314_small_1.jpg"/>
        <xdr:cNvPicPr>
          <a:picLocks noChangeAspect="1"/>
        </xdr:cNvPicPr>
      </xdr:nvPicPr>
      <xdr:blipFill>
        <a:blip xmlns:r="http://schemas.openxmlformats.org/officeDocument/2006/relationships" r:embed="rId3" cstate="print"/>
        <a:srcRect l="66471" t="49032" b="24839"/>
        <a:stretch>
          <a:fillRect/>
        </a:stretch>
      </xdr:blipFill>
      <xdr:spPr>
        <a:xfrm rot="84059">
          <a:off x="9439274" y="3812861"/>
          <a:ext cx="1089007" cy="515845"/>
        </a:xfrm>
        <a:prstGeom prst="rect">
          <a:avLst/>
        </a:prstGeom>
      </xdr:spPr>
    </xdr:pic>
    <xdr:clientData/>
  </xdr:twoCellAnchor>
  <xdr:twoCellAnchor editAs="oneCell">
    <xdr:from>
      <xdr:col>9</xdr:col>
      <xdr:colOff>676274</xdr:colOff>
      <xdr:row>6</xdr:row>
      <xdr:rowOff>0</xdr:rowOff>
    </xdr:from>
    <xdr:to>
      <xdr:col>11</xdr:col>
      <xdr:colOff>222231</xdr:colOff>
      <xdr:row>7</xdr:row>
      <xdr:rowOff>315820</xdr:rowOff>
    </xdr:to>
    <xdr:pic>
      <xdr:nvPicPr>
        <xdr:cNvPr id="78" name="Image 77" descr="2664399314_small_1.jpg"/>
        <xdr:cNvPicPr>
          <a:picLocks noChangeAspect="1"/>
        </xdr:cNvPicPr>
      </xdr:nvPicPr>
      <xdr:blipFill>
        <a:blip xmlns:r="http://schemas.openxmlformats.org/officeDocument/2006/relationships" r:embed="rId3" cstate="print"/>
        <a:srcRect l="66471" t="49032" b="24839"/>
        <a:stretch>
          <a:fillRect/>
        </a:stretch>
      </xdr:blipFill>
      <xdr:spPr>
        <a:xfrm rot="84059">
          <a:off x="7096124" y="2085975"/>
          <a:ext cx="1089007" cy="515845"/>
        </a:xfrm>
        <a:prstGeom prst="rect">
          <a:avLst/>
        </a:prstGeom>
      </xdr:spPr>
    </xdr:pic>
    <xdr:clientData/>
  </xdr:twoCellAnchor>
  <xdr:twoCellAnchor editAs="oneCell">
    <xdr:from>
      <xdr:col>9</xdr:col>
      <xdr:colOff>714374</xdr:colOff>
      <xdr:row>4</xdr:row>
      <xdr:rowOff>352424</xdr:rowOff>
    </xdr:from>
    <xdr:to>
      <xdr:col>11</xdr:col>
      <xdr:colOff>209383</xdr:colOff>
      <xdr:row>5</xdr:row>
      <xdr:rowOff>471320</xdr:rowOff>
    </xdr:to>
    <xdr:pic>
      <xdr:nvPicPr>
        <xdr:cNvPr id="79" name="Image 78" descr="2664399314_small_1.jpg"/>
        <xdr:cNvPicPr>
          <a:picLocks noChangeAspect="1"/>
        </xdr:cNvPicPr>
      </xdr:nvPicPr>
      <xdr:blipFill>
        <a:blip xmlns:r="http://schemas.openxmlformats.org/officeDocument/2006/relationships" r:embed="rId3" cstate="print"/>
        <a:srcRect l="34117" t="74194" r="33922" b="968"/>
        <a:stretch>
          <a:fillRect/>
        </a:stretch>
      </xdr:blipFill>
      <xdr:spPr>
        <a:xfrm rot="84059">
          <a:off x="7134224" y="1495424"/>
          <a:ext cx="1038059" cy="490371"/>
        </a:xfrm>
        <a:prstGeom prst="rect">
          <a:avLst/>
        </a:prstGeom>
      </xdr:spPr>
    </xdr:pic>
    <xdr:clientData/>
  </xdr:twoCellAnchor>
  <xdr:twoCellAnchor editAs="oneCell">
    <xdr:from>
      <xdr:col>15</xdr:col>
      <xdr:colOff>661598</xdr:colOff>
      <xdr:row>9</xdr:row>
      <xdr:rowOff>219075</xdr:rowOff>
    </xdr:from>
    <xdr:to>
      <xdr:col>17</xdr:col>
      <xdr:colOff>213923</xdr:colOff>
      <xdr:row>10</xdr:row>
      <xdr:rowOff>169678</xdr:rowOff>
    </xdr:to>
    <xdr:pic>
      <xdr:nvPicPr>
        <xdr:cNvPr id="80" name="Image 79" descr="2664399314_small_1.jpg"/>
        <xdr:cNvPicPr>
          <a:picLocks noChangeAspect="1"/>
        </xdr:cNvPicPr>
      </xdr:nvPicPr>
      <xdr:blipFill>
        <a:blip xmlns:r="http://schemas.openxmlformats.org/officeDocument/2006/relationships" r:embed="rId3" cstate="print"/>
        <a:srcRect l="66275" t="74516" b="968"/>
        <a:stretch>
          <a:fillRect/>
        </a:stretch>
      </xdr:blipFill>
      <xdr:spPr>
        <a:xfrm rot="84059">
          <a:off x="11691548" y="3248025"/>
          <a:ext cx="1095375" cy="484003"/>
        </a:xfrm>
        <a:prstGeom prst="rect">
          <a:avLst/>
        </a:prstGeom>
      </xdr:spPr>
    </xdr:pic>
    <xdr:clientData/>
  </xdr:twoCellAnchor>
  <xdr:twoCellAnchor editAs="oneCell">
    <xdr:from>
      <xdr:col>9</xdr:col>
      <xdr:colOff>714374</xdr:colOff>
      <xdr:row>7</xdr:row>
      <xdr:rowOff>409575</xdr:rowOff>
    </xdr:from>
    <xdr:to>
      <xdr:col>11</xdr:col>
      <xdr:colOff>266699</xdr:colOff>
      <xdr:row>9</xdr:row>
      <xdr:rowOff>150628</xdr:rowOff>
    </xdr:to>
    <xdr:pic>
      <xdr:nvPicPr>
        <xdr:cNvPr id="81" name="Image 80" descr="2664399314_small_1.jpg"/>
        <xdr:cNvPicPr>
          <a:picLocks noChangeAspect="1"/>
        </xdr:cNvPicPr>
      </xdr:nvPicPr>
      <xdr:blipFill>
        <a:blip xmlns:r="http://schemas.openxmlformats.org/officeDocument/2006/relationships" r:embed="rId3" cstate="print"/>
        <a:srcRect l="66275" t="74516" b="968"/>
        <a:stretch>
          <a:fillRect/>
        </a:stretch>
      </xdr:blipFill>
      <xdr:spPr>
        <a:xfrm rot="84059">
          <a:off x="7134224" y="2695575"/>
          <a:ext cx="1095375" cy="484003"/>
        </a:xfrm>
        <a:prstGeom prst="rect">
          <a:avLst/>
        </a:prstGeom>
      </xdr:spPr>
    </xdr:pic>
    <xdr:clientData/>
  </xdr:twoCellAnchor>
  <xdr:twoCellAnchor>
    <xdr:from>
      <xdr:col>0</xdr:col>
      <xdr:colOff>28575</xdr:colOff>
      <xdr:row>17</xdr:row>
      <xdr:rowOff>19050</xdr:rowOff>
    </xdr:from>
    <xdr:to>
      <xdr:col>18</xdr:col>
      <xdr:colOff>714375</xdr:colOff>
      <xdr:row>17</xdr:row>
      <xdr:rowOff>152400</xdr:rowOff>
    </xdr:to>
    <xdr:sp macro="[0]!VersSigneEgyptien_PageSE" textlink="">
      <xdr:nvSpPr>
        <xdr:cNvPr id="44" name="Rectangle 43"/>
        <xdr:cNvSpPr/>
      </xdr:nvSpPr>
      <xdr:spPr>
        <a:xfrm>
          <a:off x="28575" y="5905500"/>
          <a:ext cx="14020800" cy="133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19050</xdr:colOff>
      <xdr:row>0</xdr:row>
      <xdr:rowOff>19050</xdr:rowOff>
    </xdr:from>
    <xdr:to>
      <xdr:col>0</xdr:col>
      <xdr:colOff>506095</xdr:colOff>
      <xdr:row>0</xdr:row>
      <xdr:rowOff>191799</xdr:rowOff>
    </xdr:to>
    <xdr:sp macro="" textlink="">
      <xdr:nvSpPr>
        <xdr:cNvPr id="2" name="Rectangle à coins arrondis 1"/>
        <xdr:cNvSpPr/>
      </xdr:nvSpPr>
      <xdr:spPr>
        <a:xfrm>
          <a:off x="19050" y="19050"/>
          <a:ext cx="487045" cy="172749"/>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3</xdr:col>
      <xdr:colOff>19050</xdr:colOff>
      <xdr:row>0</xdr:row>
      <xdr:rowOff>9525</xdr:rowOff>
    </xdr:from>
    <xdr:to>
      <xdr:col>3</xdr:col>
      <xdr:colOff>828675</xdr:colOff>
      <xdr:row>0</xdr:row>
      <xdr:rowOff>200025</xdr:rowOff>
    </xdr:to>
    <xdr:sp macro="[0]!RETOURSigneAstroEgyptien" textlink="">
      <xdr:nvSpPr>
        <xdr:cNvPr id="3" name="Rectangle 2"/>
        <xdr:cNvSpPr/>
      </xdr:nvSpPr>
      <xdr:spPr>
        <a:xfrm>
          <a:off x="8429625" y="9525"/>
          <a:ext cx="809625" cy="1905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466724</xdr:colOff>
      <xdr:row>4</xdr:row>
      <xdr:rowOff>133350</xdr:rowOff>
    </xdr:from>
    <xdr:to>
      <xdr:col>0</xdr:col>
      <xdr:colOff>1714499</xdr:colOff>
      <xdr:row>6</xdr:row>
      <xdr:rowOff>95250</xdr:rowOff>
    </xdr:to>
    <xdr:sp macro="[0]!CALLUN" textlink="">
      <xdr:nvSpPr>
        <xdr:cNvPr id="5" name="Rectangle à coins arrondis 4"/>
        <xdr:cNvSpPr/>
      </xdr:nvSpPr>
      <xdr:spPr>
        <a:xfrm>
          <a:off x="466724" y="1171575"/>
          <a:ext cx="1247775" cy="361950"/>
        </a:xfrm>
        <a:prstGeom prst="roundRect">
          <a:avLst/>
        </a:prstGeom>
        <a:ln/>
      </xdr:spPr>
      <xdr:style>
        <a:lnRef idx="3">
          <a:schemeClr val="lt1"/>
        </a:lnRef>
        <a:fillRef idx="1">
          <a:schemeClr val="accent5"/>
        </a:fillRef>
        <a:effectRef idx="1">
          <a:schemeClr val="accent5"/>
        </a:effectRef>
        <a:fontRef idx="minor">
          <a:schemeClr val="lt1"/>
        </a:fontRef>
      </xdr:style>
      <xdr:txBody>
        <a:bodyPr vertOverflow="clip" rtlCol="0" anchor="ctr"/>
        <a:lstStyle/>
        <a:p>
          <a:pPr algn="ctr"/>
          <a:r>
            <a:rPr lang="fr-FR" sz="1200" b="1">
              <a:solidFill>
                <a:srgbClr val="0070C0"/>
              </a:solidFill>
            </a:rPr>
            <a:t>Calendrier</a:t>
          </a:r>
          <a:r>
            <a:rPr lang="fr-FR" sz="1200" b="1" baseline="0">
              <a:solidFill>
                <a:srgbClr val="0070C0"/>
              </a:solidFill>
            </a:rPr>
            <a:t> 1</a:t>
          </a:r>
          <a:endParaRPr lang="fr-FR" sz="1200" b="1">
            <a:solidFill>
              <a:srgbClr val="0070C0"/>
            </a:solidFill>
          </a:endParaRPr>
        </a:p>
      </xdr:txBody>
    </xdr:sp>
    <xdr:clientData/>
  </xdr:twoCellAnchor>
  <xdr:twoCellAnchor>
    <xdr:from>
      <xdr:col>0</xdr:col>
      <xdr:colOff>1847849</xdr:colOff>
      <xdr:row>5</xdr:row>
      <xdr:rowOff>171450</xdr:rowOff>
    </xdr:from>
    <xdr:to>
      <xdr:col>1</xdr:col>
      <xdr:colOff>66674</xdr:colOff>
      <xdr:row>7</xdr:row>
      <xdr:rowOff>142875</xdr:rowOff>
    </xdr:to>
    <xdr:sp macro="[0]!CALMAR" textlink="">
      <xdr:nvSpPr>
        <xdr:cNvPr id="6" name="Rectangle à coins arrondis 5"/>
        <xdr:cNvSpPr/>
      </xdr:nvSpPr>
      <xdr:spPr>
        <a:xfrm>
          <a:off x="1847849" y="1409700"/>
          <a:ext cx="1247775" cy="361950"/>
        </a:xfrm>
        <a:prstGeom prst="roundRect">
          <a:avLst/>
        </a:prstGeom>
        <a:ln/>
      </xdr:spPr>
      <xdr:style>
        <a:lnRef idx="3">
          <a:schemeClr val="lt1"/>
        </a:lnRef>
        <a:fillRef idx="1">
          <a:schemeClr val="accent5"/>
        </a:fillRef>
        <a:effectRef idx="1">
          <a:schemeClr val="accent5"/>
        </a:effectRef>
        <a:fontRef idx="minor">
          <a:schemeClr val="lt1"/>
        </a:fontRef>
      </xdr:style>
      <xdr:txBody>
        <a:bodyPr vertOverflow="clip" rtlCol="0" anchor="ctr"/>
        <a:lstStyle/>
        <a:p>
          <a:pPr algn="ctr"/>
          <a:r>
            <a:rPr lang="fr-FR" sz="1200" b="1">
              <a:solidFill>
                <a:srgbClr val="0070C0"/>
              </a:solidFill>
            </a:rPr>
            <a:t>Calendrier</a:t>
          </a:r>
          <a:r>
            <a:rPr lang="fr-FR" sz="1200" b="1" baseline="0">
              <a:solidFill>
                <a:srgbClr val="0070C0"/>
              </a:solidFill>
            </a:rPr>
            <a:t> 2</a:t>
          </a:r>
          <a:endParaRPr lang="fr-FR" sz="1200" b="1">
            <a:solidFill>
              <a:srgbClr val="0070C0"/>
            </a:solidFill>
          </a:endParaRPr>
        </a:p>
      </xdr:txBody>
    </xdr:sp>
    <xdr:clientData/>
  </xdr:twoCellAnchor>
  <xdr:twoCellAnchor>
    <xdr:from>
      <xdr:col>0</xdr:col>
      <xdr:colOff>466725</xdr:colOff>
      <xdr:row>9</xdr:row>
      <xdr:rowOff>123825</xdr:rowOff>
    </xdr:from>
    <xdr:to>
      <xdr:col>0</xdr:col>
      <xdr:colOff>1714500</xdr:colOff>
      <xdr:row>11</xdr:row>
      <xdr:rowOff>95250</xdr:rowOff>
    </xdr:to>
    <xdr:sp macro="[0]!CALVEN" textlink="">
      <xdr:nvSpPr>
        <xdr:cNvPr id="9" name="Rectangle à coins arrondis 8"/>
        <xdr:cNvSpPr/>
      </xdr:nvSpPr>
      <xdr:spPr>
        <a:xfrm>
          <a:off x="466725" y="2152650"/>
          <a:ext cx="1247775" cy="361950"/>
        </a:xfrm>
        <a:prstGeom prst="roundRect">
          <a:avLst/>
        </a:prstGeom>
        <a:ln/>
      </xdr:spPr>
      <xdr:style>
        <a:lnRef idx="3">
          <a:schemeClr val="lt1"/>
        </a:lnRef>
        <a:fillRef idx="1">
          <a:schemeClr val="accent5"/>
        </a:fillRef>
        <a:effectRef idx="1">
          <a:schemeClr val="accent5"/>
        </a:effectRef>
        <a:fontRef idx="minor">
          <a:schemeClr val="lt1"/>
        </a:fontRef>
      </xdr:style>
      <xdr:txBody>
        <a:bodyPr vertOverflow="clip" rtlCol="0" anchor="ctr"/>
        <a:lstStyle/>
        <a:p>
          <a:pPr algn="ctr"/>
          <a:r>
            <a:rPr lang="fr-FR" sz="1200" b="1">
              <a:solidFill>
                <a:srgbClr val="0070C0"/>
              </a:solidFill>
            </a:rPr>
            <a:t>Calendrier</a:t>
          </a:r>
          <a:r>
            <a:rPr lang="fr-FR" sz="1200" b="1" baseline="0">
              <a:solidFill>
                <a:srgbClr val="0070C0"/>
              </a:solidFill>
            </a:rPr>
            <a:t> 5</a:t>
          </a:r>
          <a:endParaRPr lang="fr-FR" sz="1200" b="1">
            <a:solidFill>
              <a:srgbClr val="0070C0"/>
            </a:solidFill>
          </a:endParaRPr>
        </a:p>
      </xdr:txBody>
    </xdr:sp>
    <xdr:clientData/>
  </xdr:twoCellAnchor>
  <xdr:twoCellAnchor>
    <xdr:from>
      <xdr:col>0</xdr:col>
      <xdr:colOff>1847850</xdr:colOff>
      <xdr:row>10</xdr:row>
      <xdr:rowOff>171450</xdr:rowOff>
    </xdr:from>
    <xdr:to>
      <xdr:col>1</xdr:col>
      <xdr:colOff>66675</xdr:colOff>
      <xdr:row>12</xdr:row>
      <xdr:rowOff>142875</xdr:rowOff>
    </xdr:to>
    <xdr:sp macro="[0]!CALSAM" textlink="">
      <xdr:nvSpPr>
        <xdr:cNvPr id="10" name="Rectangle à coins arrondis 9"/>
        <xdr:cNvSpPr/>
      </xdr:nvSpPr>
      <xdr:spPr>
        <a:xfrm>
          <a:off x="1847850" y="2390775"/>
          <a:ext cx="1247775" cy="361950"/>
        </a:xfrm>
        <a:prstGeom prst="roundRect">
          <a:avLst/>
        </a:prstGeom>
        <a:ln/>
      </xdr:spPr>
      <xdr:style>
        <a:lnRef idx="3">
          <a:schemeClr val="lt1"/>
        </a:lnRef>
        <a:fillRef idx="1">
          <a:schemeClr val="accent5"/>
        </a:fillRef>
        <a:effectRef idx="1">
          <a:schemeClr val="accent5"/>
        </a:effectRef>
        <a:fontRef idx="minor">
          <a:schemeClr val="lt1"/>
        </a:fontRef>
      </xdr:style>
      <xdr:txBody>
        <a:bodyPr vertOverflow="clip" rtlCol="0" anchor="ctr"/>
        <a:lstStyle/>
        <a:p>
          <a:pPr algn="ctr"/>
          <a:r>
            <a:rPr lang="fr-FR" sz="1200" b="1">
              <a:solidFill>
                <a:srgbClr val="0070C0"/>
              </a:solidFill>
            </a:rPr>
            <a:t>Calendrier</a:t>
          </a:r>
          <a:r>
            <a:rPr lang="fr-FR" sz="1200" b="1" baseline="0">
              <a:solidFill>
                <a:srgbClr val="0070C0"/>
              </a:solidFill>
            </a:rPr>
            <a:t> 6</a:t>
          </a:r>
          <a:endParaRPr lang="fr-FR" sz="1200" b="1">
            <a:solidFill>
              <a:srgbClr val="0070C0"/>
            </a:solidFill>
          </a:endParaRPr>
        </a:p>
      </xdr:txBody>
    </xdr:sp>
    <xdr:clientData/>
  </xdr:twoCellAnchor>
  <xdr:twoCellAnchor>
    <xdr:from>
      <xdr:col>0</xdr:col>
      <xdr:colOff>457200</xdr:colOff>
      <xdr:row>12</xdr:row>
      <xdr:rowOff>47625</xdr:rowOff>
    </xdr:from>
    <xdr:to>
      <xdr:col>0</xdr:col>
      <xdr:colOff>1704975</xdr:colOff>
      <xdr:row>14</xdr:row>
      <xdr:rowOff>28575</xdr:rowOff>
    </xdr:to>
    <xdr:sp macro="[0]!CALDIM" textlink="">
      <xdr:nvSpPr>
        <xdr:cNvPr id="11" name="Rectangle à coins arrondis 10"/>
        <xdr:cNvSpPr/>
      </xdr:nvSpPr>
      <xdr:spPr>
        <a:xfrm>
          <a:off x="457200" y="2657475"/>
          <a:ext cx="1247775" cy="361950"/>
        </a:xfrm>
        <a:prstGeom prst="roundRect">
          <a:avLst/>
        </a:prstGeom>
        <a:ln/>
      </xdr:spPr>
      <xdr:style>
        <a:lnRef idx="3">
          <a:schemeClr val="lt1"/>
        </a:lnRef>
        <a:fillRef idx="1">
          <a:schemeClr val="accent5"/>
        </a:fillRef>
        <a:effectRef idx="1">
          <a:schemeClr val="accent5"/>
        </a:effectRef>
        <a:fontRef idx="minor">
          <a:schemeClr val="lt1"/>
        </a:fontRef>
      </xdr:style>
      <xdr:txBody>
        <a:bodyPr vertOverflow="clip" rtlCol="0" anchor="ctr"/>
        <a:lstStyle/>
        <a:p>
          <a:pPr algn="ctr"/>
          <a:r>
            <a:rPr lang="fr-FR" sz="1200" b="1">
              <a:solidFill>
                <a:srgbClr val="0070C0"/>
              </a:solidFill>
            </a:rPr>
            <a:t>Calendrier</a:t>
          </a:r>
          <a:r>
            <a:rPr lang="fr-FR" sz="1200" b="1" baseline="0">
              <a:solidFill>
                <a:srgbClr val="0070C0"/>
              </a:solidFill>
            </a:rPr>
            <a:t> 7</a:t>
          </a:r>
          <a:endParaRPr lang="fr-FR" sz="1200" b="1">
            <a:solidFill>
              <a:srgbClr val="0070C0"/>
            </a:solidFill>
          </a:endParaRPr>
        </a:p>
      </xdr:txBody>
    </xdr:sp>
    <xdr:clientData/>
  </xdr:twoCellAnchor>
  <xdr:twoCellAnchor>
    <xdr:from>
      <xdr:col>0</xdr:col>
      <xdr:colOff>1181100</xdr:colOff>
      <xdr:row>1</xdr:row>
      <xdr:rowOff>114300</xdr:rowOff>
    </xdr:from>
    <xdr:to>
      <xdr:col>0</xdr:col>
      <xdr:colOff>2428875</xdr:colOff>
      <xdr:row>3</xdr:row>
      <xdr:rowOff>95250</xdr:rowOff>
    </xdr:to>
    <xdr:sp macro="[0]!CALRECOMMENCER" textlink="">
      <xdr:nvSpPr>
        <xdr:cNvPr id="12" name="Rectangle à coins arrondis 11"/>
        <xdr:cNvSpPr/>
      </xdr:nvSpPr>
      <xdr:spPr>
        <a:xfrm>
          <a:off x="1181100" y="581025"/>
          <a:ext cx="1247775" cy="361950"/>
        </a:xfrm>
        <a:prstGeom prst="roundRect">
          <a:avLst/>
        </a:prstGeom>
        <a:solidFill>
          <a:srgbClr val="008000"/>
        </a:solidFill>
        <a:ln/>
      </xdr:spPr>
      <xdr:style>
        <a:lnRef idx="3">
          <a:schemeClr val="lt1"/>
        </a:lnRef>
        <a:fillRef idx="1">
          <a:schemeClr val="accent6"/>
        </a:fillRef>
        <a:effectRef idx="1">
          <a:schemeClr val="accent6"/>
        </a:effectRef>
        <a:fontRef idx="minor">
          <a:schemeClr val="lt1"/>
        </a:fontRef>
      </xdr:style>
      <xdr:txBody>
        <a:bodyPr vertOverflow="clip" rtlCol="0" anchor="ctr"/>
        <a:lstStyle/>
        <a:p>
          <a:pPr algn="ctr"/>
          <a:r>
            <a:rPr lang="fr-FR" sz="1200" b="1">
              <a:solidFill>
                <a:schemeClr val="bg1"/>
              </a:solidFill>
            </a:rPr>
            <a:t>Recommencer</a:t>
          </a:r>
        </a:p>
      </xdr:txBody>
    </xdr:sp>
    <xdr:clientData/>
  </xdr:twoCellAnchor>
  <xdr:twoCellAnchor>
    <xdr:from>
      <xdr:col>0</xdr:col>
      <xdr:colOff>457199</xdr:colOff>
      <xdr:row>7</xdr:row>
      <xdr:rowOff>28575</xdr:rowOff>
    </xdr:from>
    <xdr:to>
      <xdr:col>0</xdr:col>
      <xdr:colOff>1704974</xdr:colOff>
      <xdr:row>9</xdr:row>
      <xdr:rowOff>9525</xdr:rowOff>
    </xdr:to>
    <xdr:sp macro="[0]!CALMER" textlink="">
      <xdr:nvSpPr>
        <xdr:cNvPr id="13" name="Rectangle à coins arrondis 12"/>
        <xdr:cNvSpPr/>
      </xdr:nvSpPr>
      <xdr:spPr>
        <a:xfrm>
          <a:off x="457199" y="1657350"/>
          <a:ext cx="1247775" cy="381000"/>
        </a:xfrm>
        <a:prstGeom prst="roundRect">
          <a:avLst/>
        </a:prstGeom>
        <a:ln/>
      </xdr:spPr>
      <xdr:style>
        <a:lnRef idx="3">
          <a:schemeClr val="lt1"/>
        </a:lnRef>
        <a:fillRef idx="1">
          <a:schemeClr val="accent5"/>
        </a:fillRef>
        <a:effectRef idx="1">
          <a:schemeClr val="accent5"/>
        </a:effectRef>
        <a:fontRef idx="minor">
          <a:schemeClr val="lt1"/>
        </a:fontRef>
      </xdr:style>
      <xdr:txBody>
        <a:bodyPr vertOverflow="clip" rtlCol="0" anchor="ctr"/>
        <a:lstStyle/>
        <a:p>
          <a:pPr algn="ctr"/>
          <a:r>
            <a:rPr lang="fr-FR" sz="1200" b="1">
              <a:solidFill>
                <a:srgbClr val="0070C0"/>
              </a:solidFill>
            </a:rPr>
            <a:t>Calendrier</a:t>
          </a:r>
          <a:r>
            <a:rPr lang="fr-FR" sz="1200" b="1" baseline="0">
              <a:solidFill>
                <a:srgbClr val="0070C0"/>
              </a:solidFill>
            </a:rPr>
            <a:t> 3</a:t>
          </a:r>
          <a:endParaRPr lang="fr-FR" sz="1200" b="1">
            <a:solidFill>
              <a:srgbClr val="0070C0"/>
            </a:solidFill>
          </a:endParaRPr>
        </a:p>
      </xdr:txBody>
    </xdr:sp>
    <xdr:clientData/>
  </xdr:twoCellAnchor>
  <xdr:twoCellAnchor>
    <xdr:from>
      <xdr:col>0</xdr:col>
      <xdr:colOff>1828800</xdr:colOff>
      <xdr:row>8</xdr:row>
      <xdr:rowOff>76200</xdr:rowOff>
    </xdr:from>
    <xdr:to>
      <xdr:col>1</xdr:col>
      <xdr:colOff>47625</xdr:colOff>
      <xdr:row>10</xdr:row>
      <xdr:rowOff>57150</xdr:rowOff>
    </xdr:to>
    <xdr:sp macro="[0]!CALJEU" textlink="">
      <xdr:nvSpPr>
        <xdr:cNvPr id="14" name="Rectangle à coins arrondis 13"/>
        <xdr:cNvSpPr/>
      </xdr:nvSpPr>
      <xdr:spPr>
        <a:xfrm>
          <a:off x="1828800" y="1905000"/>
          <a:ext cx="1247775" cy="371475"/>
        </a:xfrm>
        <a:prstGeom prst="roundRect">
          <a:avLst/>
        </a:prstGeom>
        <a:ln/>
      </xdr:spPr>
      <xdr:style>
        <a:lnRef idx="3">
          <a:schemeClr val="lt1"/>
        </a:lnRef>
        <a:fillRef idx="1">
          <a:schemeClr val="accent5"/>
        </a:fillRef>
        <a:effectRef idx="1">
          <a:schemeClr val="accent5"/>
        </a:effectRef>
        <a:fontRef idx="minor">
          <a:schemeClr val="lt1"/>
        </a:fontRef>
      </xdr:style>
      <xdr:txBody>
        <a:bodyPr vertOverflow="clip" rtlCol="0" anchor="ctr"/>
        <a:lstStyle/>
        <a:p>
          <a:pPr algn="ctr"/>
          <a:r>
            <a:rPr lang="fr-FR" sz="1200" b="1">
              <a:solidFill>
                <a:srgbClr val="0070C0"/>
              </a:solidFill>
            </a:rPr>
            <a:t>Calendrier</a:t>
          </a:r>
          <a:r>
            <a:rPr lang="fr-FR" sz="1200" b="1" baseline="0">
              <a:solidFill>
                <a:srgbClr val="0070C0"/>
              </a:solidFill>
            </a:rPr>
            <a:t> 4</a:t>
          </a:r>
          <a:endParaRPr lang="fr-FR" sz="1200" b="1">
            <a:solidFill>
              <a:srgbClr val="0070C0"/>
            </a:solidFill>
          </a:endParaRPr>
        </a:p>
      </xdr:txBody>
    </xdr:sp>
    <xdr:clientData/>
  </xdr:twoCellAnchor>
  <xdr:twoCellAnchor>
    <xdr:from>
      <xdr:col>16</xdr:col>
      <xdr:colOff>485776</xdr:colOff>
      <xdr:row>0</xdr:row>
      <xdr:rowOff>0</xdr:rowOff>
    </xdr:from>
    <xdr:to>
      <xdr:col>17</xdr:col>
      <xdr:colOff>171451</xdr:colOff>
      <xdr:row>0</xdr:row>
      <xdr:rowOff>457200</xdr:rowOff>
    </xdr:to>
    <xdr:sp macro="[0]!FERMCALENDRIER" textlink="">
      <xdr:nvSpPr>
        <xdr:cNvPr id="15" name="Flèche droite rayée 14"/>
        <xdr:cNvSpPr/>
      </xdr:nvSpPr>
      <xdr:spPr>
        <a:xfrm>
          <a:off x="11868151" y="0"/>
          <a:ext cx="381000" cy="457200"/>
        </a:xfrm>
        <a:prstGeom prst="stripedRightArrow">
          <a:avLst/>
        </a:prstGeom>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7</xdr:col>
      <xdr:colOff>114300</xdr:colOff>
      <xdr:row>16</xdr:row>
      <xdr:rowOff>133350</xdr:rowOff>
    </xdr:from>
    <xdr:to>
      <xdr:col>13</xdr:col>
      <xdr:colOff>657225</xdr:colOff>
      <xdr:row>17</xdr:row>
      <xdr:rowOff>57150</xdr:rowOff>
    </xdr:to>
    <xdr:sp macro="[0]!VersTable9_PageCal" textlink="">
      <xdr:nvSpPr>
        <xdr:cNvPr id="16" name="Rectangle 15"/>
        <xdr:cNvSpPr/>
      </xdr:nvSpPr>
      <xdr:spPr>
        <a:xfrm>
          <a:off x="5810250" y="3505200"/>
          <a:ext cx="4600575" cy="1143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3</xdr:col>
      <xdr:colOff>1714501</xdr:colOff>
      <xdr:row>0</xdr:row>
      <xdr:rowOff>0</xdr:rowOff>
    </xdr:from>
    <xdr:to>
      <xdr:col>3</xdr:col>
      <xdr:colOff>2152649</xdr:colOff>
      <xdr:row>0</xdr:row>
      <xdr:rowOff>390525</xdr:rowOff>
    </xdr:to>
    <xdr:sp macro="[0]!FERMREVEL" textlink="">
      <xdr:nvSpPr>
        <xdr:cNvPr id="2" name="Flèche droite rayée 1"/>
        <xdr:cNvSpPr/>
      </xdr:nvSpPr>
      <xdr:spPr>
        <a:xfrm>
          <a:off x="8324851" y="0"/>
          <a:ext cx="438148" cy="390525"/>
        </a:xfrm>
        <a:prstGeom prst="stripedRightArrow">
          <a:avLst/>
        </a:prstGeom>
        <a:ln/>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2</xdr:col>
      <xdr:colOff>3343275</xdr:colOff>
      <xdr:row>27</xdr:row>
      <xdr:rowOff>57150</xdr:rowOff>
    </xdr:from>
    <xdr:to>
      <xdr:col>2</xdr:col>
      <xdr:colOff>4048125</xdr:colOff>
      <xdr:row>27</xdr:row>
      <xdr:rowOff>152400</xdr:rowOff>
    </xdr:to>
    <xdr:sp macro="[0]!Feuil17.VersRsltRevelations" textlink="">
      <xdr:nvSpPr>
        <xdr:cNvPr id="3" name="Rectangle 2"/>
        <xdr:cNvSpPr/>
      </xdr:nvSpPr>
      <xdr:spPr>
        <a:xfrm>
          <a:off x="4029075" y="5429250"/>
          <a:ext cx="704850" cy="952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2</xdr:col>
      <xdr:colOff>3181350</xdr:colOff>
      <xdr:row>26</xdr:row>
      <xdr:rowOff>95250</xdr:rowOff>
    </xdr:from>
    <xdr:to>
      <xdr:col>2</xdr:col>
      <xdr:colOff>4371975</xdr:colOff>
      <xdr:row>28</xdr:row>
      <xdr:rowOff>38100</xdr:rowOff>
    </xdr:to>
    <xdr:sp macro="[0]!Feuil17.RAZREVEL" textlink="">
      <xdr:nvSpPr>
        <xdr:cNvPr id="2" name="Rectangle à coins arrondis 1"/>
        <xdr:cNvSpPr/>
      </xdr:nvSpPr>
      <xdr:spPr>
        <a:xfrm>
          <a:off x="3867150" y="5276850"/>
          <a:ext cx="1190625" cy="323850"/>
        </a:xfrm>
        <a:prstGeom prst="roundRect">
          <a:avLst/>
        </a:prstGeom>
        <a:ln>
          <a:solidFill>
            <a:srgbClr val="002060"/>
          </a:solidFill>
        </a:ln>
      </xdr:spPr>
      <xdr:style>
        <a:lnRef idx="2">
          <a:schemeClr val="accent6">
            <a:shade val="50000"/>
          </a:schemeClr>
        </a:lnRef>
        <a:fillRef idx="1003">
          <a:schemeClr val="dk2"/>
        </a:fillRef>
        <a:effectRef idx="0">
          <a:schemeClr val="accent6"/>
        </a:effectRef>
        <a:fontRef idx="minor">
          <a:schemeClr val="lt1"/>
        </a:fontRef>
      </xdr:style>
      <xdr:txBody>
        <a:bodyPr vertOverflow="clip" rtlCol="0" anchor="ctr"/>
        <a:lstStyle/>
        <a:p>
          <a:pPr algn="ctr"/>
          <a:r>
            <a:rPr lang="fr-FR" sz="1200" b="1">
              <a:solidFill>
                <a:schemeClr val="bg1">
                  <a:lumMod val="85000"/>
                </a:schemeClr>
              </a:solidFill>
            </a:rPr>
            <a:t>On</a:t>
          </a:r>
          <a:r>
            <a:rPr lang="fr-FR" sz="1200" b="1" baseline="0">
              <a:solidFill>
                <a:schemeClr val="bg1">
                  <a:lumMod val="85000"/>
                </a:schemeClr>
              </a:solidFill>
            </a:rPr>
            <a:t> oubli tout ?</a:t>
          </a:r>
          <a:endParaRPr lang="fr-FR" sz="1200" b="1">
            <a:solidFill>
              <a:schemeClr val="bg1">
                <a:lumMod val="85000"/>
              </a:schemeClr>
            </a:solidFill>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12</xdr:col>
      <xdr:colOff>23232</xdr:colOff>
      <xdr:row>0</xdr:row>
      <xdr:rowOff>11613</xdr:rowOff>
    </xdr:from>
    <xdr:to>
      <xdr:col>12</xdr:col>
      <xdr:colOff>151007</xdr:colOff>
      <xdr:row>11</xdr:row>
      <xdr:rowOff>58077</xdr:rowOff>
    </xdr:to>
    <xdr:sp macro="[0]!FERMHISTOIRE" textlink="">
      <xdr:nvSpPr>
        <xdr:cNvPr id="3" name="Rectangle 2"/>
        <xdr:cNvSpPr/>
      </xdr:nvSpPr>
      <xdr:spPr>
        <a:xfrm>
          <a:off x="8642195" y="11613"/>
          <a:ext cx="127775" cy="2358019"/>
        </a:xfrm>
        <a:prstGeom prst="rect">
          <a:avLst/>
        </a:prstGeom>
        <a:solidFill>
          <a:srgbClr val="FF0000"/>
        </a:solidFill>
        <a:ln>
          <a:solidFill>
            <a:schemeClr val="tx2">
              <a:lumMod val="75000"/>
            </a:schemeClr>
          </a:solidFill>
        </a:ln>
      </xdr:spPr>
      <xdr:style>
        <a:lnRef idx="1">
          <a:schemeClr val="accent5"/>
        </a:lnRef>
        <a:fillRef idx="1003">
          <a:schemeClr val="dk2"/>
        </a:fillRef>
        <a:effectRef idx="2">
          <a:schemeClr val="accent5"/>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1</xdr:col>
      <xdr:colOff>449146</xdr:colOff>
      <xdr:row>4</xdr:row>
      <xdr:rowOff>19360</xdr:rowOff>
    </xdr:from>
    <xdr:to>
      <xdr:col>1</xdr:col>
      <xdr:colOff>576146</xdr:colOff>
      <xdr:row>4</xdr:row>
      <xdr:rowOff>146360</xdr:rowOff>
    </xdr:to>
    <xdr:sp macro="[0]!HISSUPP" textlink="">
      <xdr:nvSpPr>
        <xdr:cNvPr id="4" name="Parchemin horizontal 3"/>
        <xdr:cNvSpPr/>
      </xdr:nvSpPr>
      <xdr:spPr>
        <a:xfrm>
          <a:off x="635000" y="635000"/>
          <a:ext cx="127000" cy="127000"/>
        </a:xfrm>
        <a:prstGeom prst="horizontalScroll">
          <a:avLst/>
        </a:prstGeom>
        <a:ln>
          <a:solidFill>
            <a:schemeClr val="bg2">
              <a:lumMod val="25000"/>
            </a:schemeClr>
          </a:solidFill>
        </a:ln>
      </xdr:spPr>
      <xdr:style>
        <a:lnRef idx="2">
          <a:schemeClr val="accent1">
            <a:shade val="50000"/>
          </a:schemeClr>
        </a:lnRef>
        <a:fillRef idx="1003">
          <a:schemeClr val="lt2"/>
        </a:fillRef>
        <a:effectRef idx="0">
          <a:schemeClr val="accent1"/>
        </a:effectRef>
        <a:fontRef idx="minor">
          <a:schemeClr val="lt1"/>
        </a:fontRef>
      </xdr:style>
      <xdr:txBody>
        <a:bodyPr vertOverflow="clip" rtlCol="0" anchor="ctr"/>
        <a:lstStyle/>
        <a:p>
          <a:pPr algn="ctr"/>
          <a:r>
            <a:rPr lang="fr-FR" sz="5400" b="1">
              <a:solidFill>
                <a:schemeClr val="bg2">
                  <a:lumMod val="25000"/>
                </a:schemeClr>
              </a:solidFill>
              <a:latin typeface="French Script MT" pitchFamily="66" charset="0"/>
            </a:rPr>
            <a:t>Fin</a:t>
          </a:r>
        </a:p>
      </xdr:txBody>
    </xdr:sp>
    <xdr:clientData fLocksWithSheet="0"/>
  </xdr:twoCellAnchor>
  <xdr:twoCellAnchor>
    <xdr:from>
      <xdr:col>1</xdr:col>
      <xdr:colOff>47625</xdr:colOff>
      <xdr:row>15</xdr:row>
      <xdr:rowOff>125506</xdr:rowOff>
    </xdr:from>
    <xdr:to>
      <xdr:col>1</xdr:col>
      <xdr:colOff>697566</xdr:colOff>
      <xdr:row>15</xdr:row>
      <xdr:rowOff>171225</xdr:rowOff>
    </xdr:to>
    <xdr:sp macro="[0]!HISSUITE1" textlink="">
      <xdr:nvSpPr>
        <xdr:cNvPr id="7" name="Rectangle à coins arrondis 6"/>
        <xdr:cNvSpPr/>
      </xdr:nvSpPr>
      <xdr:spPr>
        <a:xfrm>
          <a:off x="226919" y="3386418"/>
          <a:ext cx="649941" cy="45719"/>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28575</xdr:colOff>
      <xdr:row>24</xdr:row>
      <xdr:rowOff>115981</xdr:rowOff>
    </xdr:from>
    <xdr:to>
      <xdr:col>1</xdr:col>
      <xdr:colOff>678516</xdr:colOff>
      <xdr:row>24</xdr:row>
      <xdr:rowOff>161700</xdr:rowOff>
    </xdr:to>
    <xdr:sp macro="[0]!HISSUITE2" textlink="">
      <xdr:nvSpPr>
        <xdr:cNvPr id="8" name="Rectangle à coins arrondis 7"/>
        <xdr:cNvSpPr/>
      </xdr:nvSpPr>
      <xdr:spPr>
        <a:xfrm>
          <a:off x="207869" y="5797363"/>
          <a:ext cx="649941" cy="45719"/>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38100</xdr:colOff>
      <xdr:row>35</xdr:row>
      <xdr:rowOff>115981</xdr:rowOff>
    </xdr:from>
    <xdr:to>
      <xdr:col>1</xdr:col>
      <xdr:colOff>688041</xdr:colOff>
      <xdr:row>35</xdr:row>
      <xdr:rowOff>161700</xdr:rowOff>
    </xdr:to>
    <xdr:sp macro="[0]!HISSUITE3" textlink="">
      <xdr:nvSpPr>
        <xdr:cNvPr id="9" name="Rectangle à coins arrondis 8"/>
        <xdr:cNvSpPr/>
      </xdr:nvSpPr>
      <xdr:spPr>
        <a:xfrm>
          <a:off x="217394" y="8755716"/>
          <a:ext cx="649941" cy="45719"/>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11206</xdr:colOff>
      <xdr:row>9</xdr:row>
      <xdr:rowOff>134471</xdr:rowOff>
    </xdr:from>
    <xdr:to>
      <xdr:col>13</xdr:col>
      <xdr:colOff>661147</xdr:colOff>
      <xdr:row>9</xdr:row>
      <xdr:rowOff>180190</xdr:rowOff>
    </xdr:to>
    <xdr:sp macro="[0]!HISSUITE4" textlink="">
      <xdr:nvSpPr>
        <xdr:cNvPr id="10" name="Rectangle à coins arrondis 9"/>
        <xdr:cNvSpPr/>
      </xdr:nvSpPr>
      <xdr:spPr>
        <a:xfrm>
          <a:off x="8751794" y="1938618"/>
          <a:ext cx="649941" cy="45719"/>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22411</xdr:colOff>
      <xdr:row>18</xdr:row>
      <xdr:rowOff>100854</xdr:rowOff>
    </xdr:from>
    <xdr:to>
      <xdr:col>13</xdr:col>
      <xdr:colOff>672352</xdr:colOff>
      <xdr:row>18</xdr:row>
      <xdr:rowOff>146573</xdr:rowOff>
    </xdr:to>
    <xdr:sp macro="[0]!HISSUITE5" textlink="">
      <xdr:nvSpPr>
        <xdr:cNvPr id="11" name="Rectangle à coins arrondis 10"/>
        <xdr:cNvSpPr/>
      </xdr:nvSpPr>
      <xdr:spPr>
        <a:xfrm>
          <a:off x="8762999" y="4168589"/>
          <a:ext cx="649941" cy="45719"/>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78441</xdr:colOff>
      <xdr:row>25</xdr:row>
      <xdr:rowOff>123265</xdr:rowOff>
    </xdr:from>
    <xdr:to>
      <xdr:col>13</xdr:col>
      <xdr:colOff>728382</xdr:colOff>
      <xdr:row>25</xdr:row>
      <xdr:rowOff>168984</xdr:rowOff>
    </xdr:to>
    <xdr:sp macro="[0]!HISSUITE6" textlink="">
      <xdr:nvSpPr>
        <xdr:cNvPr id="12" name="Rectangle à coins arrondis 11"/>
        <xdr:cNvSpPr/>
      </xdr:nvSpPr>
      <xdr:spPr>
        <a:xfrm>
          <a:off x="8819029" y="6073589"/>
          <a:ext cx="649941" cy="45719"/>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13</xdr:col>
      <xdr:colOff>89647</xdr:colOff>
      <xdr:row>31</xdr:row>
      <xdr:rowOff>145676</xdr:rowOff>
    </xdr:from>
    <xdr:to>
      <xdr:col>13</xdr:col>
      <xdr:colOff>739588</xdr:colOff>
      <xdr:row>31</xdr:row>
      <xdr:rowOff>191395</xdr:rowOff>
    </xdr:to>
    <xdr:sp macro="[0]!HISSUITE7" textlink="">
      <xdr:nvSpPr>
        <xdr:cNvPr id="13" name="Rectangle à coins arrondis 12"/>
        <xdr:cNvSpPr/>
      </xdr:nvSpPr>
      <xdr:spPr>
        <a:xfrm>
          <a:off x="8830235" y="7709647"/>
          <a:ext cx="649941" cy="45719"/>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359859</xdr:colOff>
      <xdr:row>2</xdr:row>
      <xdr:rowOff>78291</xdr:rowOff>
    </xdr:from>
    <xdr:to>
      <xdr:col>11</xdr:col>
      <xdr:colOff>312234</xdr:colOff>
      <xdr:row>7</xdr:row>
      <xdr:rowOff>209085</xdr:rowOff>
    </xdr:to>
    <xdr:sp macro="[0]!HISCOMMENCER" textlink="">
      <xdr:nvSpPr>
        <xdr:cNvPr id="14" name="Parchemin horizontal 13"/>
        <xdr:cNvSpPr/>
      </xdr:nvSpPr>
      <xdr:spPr>
        <a:xfrm>
          <a:off x="545713" y="322224"/>
          <a:ext cx="7618838" cy="1083294"/>
        </a:xfrm>
        <a:prstGeom prst="horizontalScroll">
          <a:avLst/>
        </a:prstGeom>
        <a:ln>
          <a:solidFill>
            <a:schemeClr val="bg2">
              <a:lumMod val="25000"/>
            </a:schemeClr>
          </a:solidFill>
        </a:ln>
        <a:effectLst>
          <a:outerShdw blurRad="50800" dist="38100" algn="l" rotWithShape="0">
            <a:prstClr val="black">
              <a:alpha val="40000"/>
            </a:prstClr>
          </a:outerShdw>
        </a:effectLst>
      </xdr:spPr>
      <xdr:style>
        <a:lnRef idx="2">
          <a:schemeClr val="accent1">
            <a:shade val="50000"/>
          </a:schemeClr>
        </a:lnRef>
        <a:fillRef idx="1003">
          <a:schemeClr val="lt2"/>
        </a:fillRef>
        <a:effectRef idx="0">
          <a:schemeClr val="accent1"/>
        </a:effectRef>
        <a:fontRef idx="minor">
          <a:schemeClr val="lt1"/>
        </a:fontRef>
      </xdr:style>
      <xdr:txBody>
        <a:bodyPr vertOverflow="clip" rtlCol="0" anchor="ctr"/>
        <a:lstStyle/>
        <a:p>
          <a:pPr algn="ctr"/>
          <a:r>
            <a:rPr lang="fr-FR" sz="5400" b="1">
              <a:solidFill>
                <a:schemeClr val="bg2">
                  <a:lumMod val="25000"/>
                </a:schemeClr>
              </a:solidFill>
              <a:latin typeface="French Script MT" pitchFamily="66" charset="0"/>
            </a:rPr>
            <a:t>Il  était  une  fois ...</a:t>
          </a:r>
        </a:p>
      </xdr:txBody>
    </xdr:sp>
    <xdr:clientData/>
  </xdr:twoCellAnchor>
  <xdr:twoCellAnchor>
    <xdr:from>
      <xdr:col>23</xdr:col>
      <xdr:colOff>267164</xdr:colOff>
      <xdr:row>0</xdr:row>
      <xdr:rowOff>0</xdr:rowOff>
    </xdr:from>
    <xdr:to>
      <xdr:col>24</xdr:col>
      <xdr:colOff>176326</xdr:colOff>
      <xdr:row>4</xdr:row>
      <xdr:rowOff>58080</xdr:rowOff>
    </xdr:to>
    <xdr:sp macro="[0]!FERMHISTOIRE" textlink="">
      <xdr:nvSpPr>
        <xdr:cNvPr id="15" name="Triangle rectangle 14"/>
        <xdr:cNvSpPr/>
      </xdr:nvSpPr>
      <xdr:spPr>
        <a:xfrm rot="10800000">
          <a:off x="16738444" y="0"/>
          <a:ext cx="675809" cy="662104"/>
        </a:xfrm>
        <a:prstGeom prst="rtTriangle">
          <a:avLst/>
        </a:prstGeom>
        <a:ln/>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endParaRPr lang="fr-FR" sz="1100">
            <a:solidFill>
              <a:schemeClr val="tx1"/>
            </a:solidFill>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38100</xdr:colOff>
      <xdr:row>2</xdr:row>
      <xdr:rowOff>47625</xdr:rowOff>
    </xdr:from>
    <xdr:to>
      <xdr:col>1</xdr:col>
      <xdr:colOff>514350</xdr:colOff>
      <xdr:row>2</xdr:row>
      <xdr:rowOff>2924175</xdr:rowOff>
    </xdr:to>
    <xdr:pic>
      <xdr:nvPicPr>
        <xdr:cNvPr id="2" name="Image 1" descr="nombreuxcarres.jpg"/>
        <xdr:cNvPicPr>
          <a:picLocks noChangeAspect="1"/>
        </xdr:cNvPicPr>
      </xdr:nvPicPr>
      <xdr:blipFill>
        <a:blip xmlns:r="http://schemas.openxmlformats.org/officeDocument/2006/relationships" r:embed="rId1" cstate="print"/>
        <a:srcRect b="16575"/>
        <a:stretch>
          <a:fillRect/>
        </a:stretch>
      </xdr:blipFill>
      <xdr:spPr>
        <a:xfrm>
          <a:off x="38100" y="1009650"/>
          <a:ext cx="2857500" cy="2876550"/>
        </a:xfrm>
        <a:prstGeom prst="rect">
          <a:avLst/>
        </a:prstGeom>
      </xdr:spPr>
    </xdr:pic>
    <xdr:clientData/>
  </xdr:twoCellAnchor>
  <xdr:twoCellAnchor editAs="oneCell">
    <xdr:from>
      <xdr:col>3</xdr:col>
      <xdr:colOff>123825</xdr:colOff>
      <xdr:row>2</xdr:row>
      <xdr:rowOff>457200</xdr:rowOff>
    </xdr:from>
    <xdr:to>
      <xdr:col>4</xdr:col>
      <xdr:colOff>478367</xdr:colOff>
      <xdr:row>2</xdr:row>
      <xdr:rowOff>2695575</xdr:rowOff>
    </xdr:to>
    <xdr:pic>
      <xdr:nvPicPr>
        <xdr:cNvPr id="3" name="Image 2" descr="triangles.jpg"/>
        <xdr:cNvPicPr>
          <a:picLocks noChangeAspect="1"/>
        </xdr:cNvPicPr>
      </xdr:nvPicPr>
      <xdr:blipFill>
        <a:blip xmlns:r="http://schemas.openxmlformats.org/officeDocument/2006/relationships" r:embed="rId2" cstate="print"/>
        <a:srcRect l="40968" t="33465" r="24209" b="6299"/>
        <a:stretch>
          <a:fillRect/>
        </a:stretch>
      </xdr:blipFill>
      <xdr:spPr>
        <a:xfrm>
          <a:off x="3390900" y="1209675"/>
          <a:ext cx="2735792" cy="2238375"/>
        </a:xfrm>
        <a:prstGeom prst="rect">
          <a:avLst/>
        </a:prstGeom>
      </xdr:spPr>
    </xdr:pic>
    <xdr:clientData/>
  </xdr:twoCellAnchor>
  <xdr:twoCellAnchor editAs="oneCell">
    <xdr:from>
      <xdr:col>0</xdr:col>
      <xdr:colOff>0</xdr:colOff>
      <xdr:row>14</xdr:row>
      <xdr:rowOff>85725</xdr:rowOff>
    </xdr:from>
    <xdr:to>
      <xdr:col>1</xdr:col>
      <xdr:colOff>561975</xdr:colOff>
      <xdr:row>14</xdr:row>
      <xdr:rowOff>2914650</xdr:rowOff>
    </xdr:to>
    <xdr:pic>
      <xdr:nvPicPr>
        <xdr:cNvPr id="4" name="Image 3" descr="764px-Grey_square_optical_illusion.svg.png"/>
        <xdr:cNvPicPr>
          <a:picLocks noChangeAspect="1"/>
        </xdr:cNvPicPr>
      </xdr:nvPicPr>
      <xdr:blipFill>
        <a:blip xmlns:r="http://schemas.openxmlformats.org/officeDocument/2006/relationships" r:embed="rId3" cstate="print"/>
        <a:stretch>
          <a:fillRect/>
        </a:stretch>
      </xdr:blipFill>
      <xdr:spPr>
        <a:xfrm>
          <a:off x="0" y="5915025"/>
          <a:ext cx="2943225" cy="2828925"/>
        </a:xfrm>
        <a:prstGeom prst="rect">
          <a:avLst/>
        </a:prstGeom>
      </xdr:spPr>
    </xdr:pic>
    <xdr:clientData/>
  </xdr:twoCellAnchor>
  <xdr:twoCellAnchor editAs="oneCell">
    <xdr:from>
      <xdr:col>6</xdr:col>
      <xdr:colOff>219075</xdr:colOff>
      <xdr:row>2</xdr:row>
      <xdr:rowOff>122393</xdr:rowOff>
    </xdr:from>
    <xdr:to>
      <xdr:col>7</xdr:col>
      <xdr:colOff>561975</xdr:colOff>
      <xdr:row>3</xdr:row>
      <xdr:rowOff>17799</xdr:rowOff>
    </xdr:to>
    <xdr:pic>
      <xdr:nvPicPr>
        <xdr:cNvPr id="5" name="Image 4" descr="2000px-Kanizsa_triangle.svg.png"/>
        <xdr:cNvPicPr>
          <a:picLocks noChangeAspect="1"/>
        </xdr:cNvPicPr>
      </xdr:nvPicPr>
      <xdr:blipFill>
        <a:blip xmlns:r="http://schemas.openxmlformats.org/officeDocument/2006/relationships" r:embed="rId4" cstate="print"/>
        <a:stretch>
          <a:fillRect/>
        </a:stretch>
      </xdr:blipFill>
      <xdr:spPr>
        <a:xfrm>
          <a:off x="6772275" y="1084418"/>
          <a:ext cx="2724150" cy="2905306"/>
        </a:xfrm>
        <a:prstGeom prst="rect">
          <a:avLst/>
        </a:prstGeom>
      </xdr:spPr>
    </xdr:pic>
    <xdr:clientData/>
  </xdr:twoCellAnchor>
  <xdr:twoCellAnchor editAs="oneCell">
    <xdr:from>
      <xdr:col>3</xdr:col>
      <xdr:colOff>131025</xdr:colOff>
      <xdr:row>14</xdr:row>
      <xdr:rowOff>591951</xdr:rowOff>
    </xdr:from>
    <xdr:to>
      <xdr:col>4</xdr:col>
      <xdr:colOff>571500</xdr:colOff>
      <xdr:row>14</xdr:row>
      <xdr:rowOff>2733675</xdr:rowOff>
    </xdr:to>
    <xdr:pic>
      <xdr:nvPicPr>
        <xdr:cNvPr id="11" name="Image 10" descr="Illusion-Optique-courbes-de-formes-identiques.jpg"/>
        <xdr:cNvPicPr>
          <a:picLocks noChangeAspect="1"/>
        </xdr:cNvPicPr>
      </xdr:nvPicPr>
      <xdr:blipFill>
        <a:blip xmlns:r="http://schemas.openxmlformats.org/officeDocument/2006/relationships" r:embed="rId5" cstate="print"/>
        <a:stretch>
          <a:fillRect/>
        </a:stretch>
      </xdr:blipFill>
      <xdr:spPr>
        <a:xfrm>
          <a:off x="3398100" y="6421251"/>
          <a:ext cx="2821725" cy="2141724"/>
        </a:xfrm>
        <a:prstGeom prst="rect">
          <a:avLst/>
        </a:prstGeom>
      </xdr:spPr>
    </xdr:pic>
    <xdr:clientData/>
  </xdr:twoCellAnchor>
  <xdr:twoCellAnchor editAs="oneCell">
    <xdr:from>
      <xdr:col>3</xdr:col>
      <xdr:colOff>304800</xdr:colOff>
      <xdr:row>19</xdr:row>
      <xdr:rowOff>581025</xdr:rowOff>
    </xdr:from>
    <xdr:to>
      <xdr:col>4</xdr:col>
      <xdr:colOff>523875</xdr:colOff>
      <xdr:row>19</xdr:row>
      <xdr:rowOff>2000250</xdr:rowOff>
    </xdr:to>
    <xdr:pic>
      <xdr:nvPicPr>
        <xdr:cNvPr id="12" name="Image 11" descr="Illusion-Optique-Illusion-blanche-gris-plus-clair.jpg"/>
        <xdr:cNvPicPr>
          <a:picLocks noChangeAspect="1"/>
        </xdr:cNvPicPr>
      </xdr:nvPicPr>
      <xdr:blipFill>
        <a:blip xmlns:r="http://schemas.openxmlformats.org/officeDocument/2006/relationships" r:embed="rId6" cstate="print"/>
        <a:srcRect l="6592" t="9725" r="5601" b="15994"/>
        <a:stretch>
          <a:fillRect/>
        </a:stretch>
      </xdr:blipFill>
      <xdr:spPr>
        <a:xfrm>
          <a:off x="3571875" y="10153650"/>
          <a:ext cx="2600325" cy="1419225"/>
        </a:xfrm>
        <a:prstGeom prst="rect">
          <a:avLst/>
        </a:prstGeom>
      </xdr:spPr>
    </xdr:pic>
    <xdr:clientData/>
  </xdr:twoCellAnchor>
  <xdr:twoCellAnchor editAs="oneCell">
    <xdr:from>
      <xdr:col>6</xdr:col>
      <xdr:colOff>199249</xdr:colOff>
      <xdr:row>14</xdr:row>
      <xdr:rowOff>95250</xdr:rowOff>
    </xdr:from>
    <xdr:to>
      <xdr:col>7</xdr:col>
      <xdr:colOff>342900</xdr:colOff>
      <xdr:row>14</xdr:row>
      <xdr:rowOff>2640295</xdr:rowOff>
    </xdr:to>
    <xdr:pic>
      <xdr:nvPicPr>
        <xdr:cNvPr id="13" name="Image 12" descr="Illusion-Optique-lignes-blanches-ou-points-gris-grille-Hermann.jpg"/>
        <xdr:cNvPicPr>
          <a:picLocks noChangeAspect="1"/>
        </xdr:cNvPicPr>
      </xdr:nvPicPr>
      <xdr:blipFill>
        <a:blip xmlns:r="http://schemas.openxmlformats.org/officeDocument/2006/relationships" r:embed="rId7" cstate="print"/>
        <a:srcRect l="17287" r="18707"/>
        <a:stretch>
          <a:fillRect/>
        </a:stretch>
      </xdr:blipFill>
      <xdr:spPr>
        <a:xfrm>
          <a:off x="6733399" y="5924550"/>
          <a:ext cx="2524901" cy="2545045"/>
        </a:xfrm>
        <a:prstGeom prst="rect">
          <a:avLst/>
        </a:prstGeom>
      </xdr:spPr>
    </xdr:pic>
    <xdr:clientData/>
  </xdr:twoCellAnchor>
  <xdr:twoCellAnchor editAs="oneCell">
    <xdr:from>
      <xdr:col>0</xdr:col>
      <xdr:colOff>581025</xdr:colOff>
      <xdr:row>19</xdr:row>
      <xdr:rowOff>352425</xdr:rowOff>
    </xdr:from>
    <xdr:to>
      <xdr:col>1</xdr:col>
      <xdr:colOff>57150</xdr:colOff>
      <xdr:row>19</xdr:row>
      <xdr:rowOff>2781300</xdr:rowOff>
    </xdr:to>
    <xdr:pic>
      <xdr:nvPicPr>
        <xdr:cNvPr id="14" name="Image 13" descr="Illusion-Optique-lignes-continue-cachee-Poggendorf-illusion.jpg"/>
        <xdr:cNvPicPr>
          <a:picLocks noChangeAspect="1"/>
        </xdr:cNvPicPr>
      </xdr:nvPicPr>
      <xdr:blipFill>
        <a:blip xmlns:r="http://schemas.openxmlformats.org/officeDocument/2006/relationships" r:embed="rId8" cstate="print"/>
        <a:srcRect l="8002" t="6037" r="49825" b="8481"/>
        <a:stretch>
          <a:fillRect/>
        </a:stretch>
      </xdr:blipFill>
      <xdr:spPr>
        <a:xfrm>
          <a:off x="581025" y="9925050"/>
          <a:ext cx="1857375" cy="2428875"/>
        </a:xfrm>
        <a:prstGeom prst="rect">
          <a:avLst/>
        </a:prstGeom>
      </xdr:spPr>
    </xdr:pic>
    <xdr:clientData/>
  </xdr:twoCellAnchor>
  <xdr:twoCellAnchor editAs="oneCell">
    <xdr:from>
      <xdr:col>3</xdr:col>
      <xdr:colOff>295274</xdr:colOff>
      <xdr:row>24</xdr:row>
      <xdr:rowOff>194254</xdr:rowOff>
    </xdr:from>
    <xdr:to>
      <xdr:col>4</xdr:col>
      <xdr:colOff>209549</xdr:colOff>
      <xdr:row>24</xdr:row>
      <xdr:rowOff>2863470</xdr:rowOff>
    </xdr:to>
    <xdr:pic>
      <xdr:nvPicPr>
        <xdr:cNvPr id="16" name="Image 15" descr="illusion_sorciere.jpg"/>
        <xdr:cNvPicPr>
          <a:picLocks noChangeAspect="1"/>
        </xdr:cNvPicPr>
      </xdr:nvPicPr>
      <xdr:blipFill>
        <a:blip xmlns:r="http://schemas.openxmlformats.org/officeDocument/2006/relationships" r:embed="rId9" cstate="print"/>
        <a:stretch>
          <a:fillRect/>
        </a:stretch>
      </xdr:blipFill>
      <xdr:spPr>
        <a:xfrm>
          <a:off x="3571874" y="13786429"/>
          <a:ext cx="2295525" cy="2669216"/>
        </a:xfrm>
        <a:prstGeom prst="rect">
          <a:avLst/>
        </a:prstGeom>
      </xdr:spPr>
    </xdr:pic>
    <xdr:clientData/>
  </xdr:twoCellAnchor>
  <xdr:twoCellAnchor editAs="oneCell">
    <xdr:from>
      <xdr:col>6</xdr:col>
      <xdr:colOff>110239</xdr:colOff>
      <xdr:row>19</xdr:row>
      <xdr:rowOff>714375</xdr:rowOff>
    </xdr:from>
    <xdr:to>
      <xdr:col>7</xdr:col>
      <xdr:colOff>446783</xdr:colOff>
      <xdr:row>19</xdr:row>
      <xdr:rowOff>2400301</xdr:rowOff>
    </xdr:to>
    <xdr:pic>
      <xdr:nvPicPr>
        <xdr:cNvPr id="17" name="Image 16" descr="illusion-optique-cercles.jpg"/>
        <xdr:cNvPicPr>
          <a:picLocks noChangeAspect="1"/>
        </xdr:cNvPicPr>
      </xdr:nvPicPr>
      <xdr:blipFill>
        <a:blip xmlns:r="http://schemas.openxmlformats.org/officeDocument/2006/relationships" r:embed="rId10" cstate="print"/>
        <a:srcRect l="7226" t="9297" r="6841" b="10742"/>
        <a:stretch>
          <a:fillRect/>
        </a:stretch>
      </xdr:blipFill>
      <xdr:spPr>
        <a:xfrm>
          <a:off x="6663439" y="10344150"/>
          <a:ext cx="2717794" cy="1685926"/>
        </a:xfrm>
        <a:prstGeom prst="rect">
          <a:avLst/>
        </a:prstGeom>
      </xdr:spPr>
    </xdr:pic>
    <xdr:clientData/>
  </xdr:twoCellAnchor>
  <xdr:twoCellAnchor editAs="oneCell">
    <xdr:from>
      <xdr:col>6</xdr:col>
      <xdr:colOff>638175</xdr:colOff>
      <xdr:row>24</xdr:row>
      <xdr:rowOff>228600</xdr:rowOff>
    </xdr:from>
    <xdr:to>
      <xdr:col>7</xdr:col>
      <xdr:colOff>104775</xdr:colOff>
      <xdr:row>24</xdr:row>
      <xdr:rowOff>2847975</xdr:rowOff>
    </xdr:to>
    <xdr:pic>
      <xdr:nvPicPr>
        <xdr:cNvPr id="18" name="Image 17" descr="illusion-optique-esquimau-indien.gif"/>
        <xdr:cNvPicPr>
          <a:picLocks noChangeAspect="1"/>
        </xdr:cNvPicPr>
      </xdr:nvPicPr>
      <xdr:blipFill>
        <a:blip xmlns:r="http://schemas.openxmlformats.org/officeDocument/2006/relationships" r:embed="rId11" cstate="print"/>
        <a:srcRect l="3150" t="2586" r="2905" b="2659"/>
        <a:stretch>
          <a:fillRect/>
        </a:stretch>
      </xdr:blipFill>
      <xdr:spPr>
        <a:xfrm>
          <a:off x="7191375" y="13839825"/>
          <a:ext cx="1847850" cy="2619375"/>
        </a:xfrm>
        <a:prstGeom prst="rect">
          <a:avLst/>
        </a:prstGeom>
      </xdr:spPr>
    </xdr:pic>
    <xdr:clientData/>
  </xdr:twoCellAnchor>
  <xdr:twoCellAnchor editAs="oneCell">
    <xdr:from>
      <xdr:col>0</xdr:col>
      <xdr:colOff>88051</xdr:colOff>
      <xdr:row>24</xdr:row>
      <xdr:rowOff>862477</xdr:rowOff>
    </xdr:from>
    <xdr:to>
      <xdr:col>1</xdr:col>
      <xdr:colOff>581025</xdr:colOff>
      <xdr:row>24</xdr:row>
      <xdr:rowOff>2861659</xdr:rowOff>
    </xdr:to>
    <xdr:pic>
      <xdr:nvPicPr>
        <xdr:cNvPr id="19" name="Image 18" descr="illusion-optique-montagnes.jpg"/>
        <xdr:cNvPicPr>
          <a:picLocks noChangeAspect="1"/>
        </xdr:cNvPicPr>
      </xdr:nvPicPr>
      <xdr:blipFill>
        <a:blip xmlns:r="http://schemas.openxmlformats.org/officeDocument/2006/relationships" r:embed="rId12" cstate="print"/>
        <a:stretch>
          <a:fillRect/>
        </a:stretch>
      </xdr:blipFill>
      <xdr:spPr>
        <a:xfrm>
          <a:off x="88051" y="14473702"/>
          <a:ext cx="2874224" cy="1999182"/>
        </a:xfrm>
        <a:prstGeom prst="rect">
          <a:avLst/>
        </a:prstGeom>
      </xdr:spPr>
    </xdr:pic>
    <xdr:clientData/>
  </xdr:twoCellAnchor>
  <xdr:twoCellAnchor editAs="oneCell">
    <xdr:from>
      <xdr:col>3</xdr:col>
      <xdr:colOff>190425</xdr:colOff>
      <xdr:row>29</xdr:row>
      <xdr:rowOff>1086391</xdr:rowOff>
    </xdr:from>
    <xdr:to>
      <xdr:col>4</xdr:col>
      <xdr:colOff>381000</xdr:colOff>
      <xdr:row>29</xdr:row>
      <xdr:rowOff>2911556</xdr:rowOff>
    </xdr:to>
    <xdr:pic>
      <xdr:nvPicPr>
        <xdr:cNvPr id="20" name="Image 19" descr="illusion-optique-paysage-bebe.jpg"/>
        <xdr:cNvPicPr>
          <a:picLocks noChangeAspect="1"/>
        </xdr:cNvPicPr>
      </xdr:nvPicPr>
      <xdr:blipFill>
        <a:blip xmlns:r="http://schemas.openxmlformats.org/officeDocument/2006/relationships" r:embed="rId13" cstate="print"/>
        <a:stretch>
          <a:fillRect/>
        </a:stretch>
      </xdr:blipFill>
      <xdr:spPr>
        <a:xfrm>
          <a:off x="3467025" y="18259966"/>
          <a:ext cx="2571825" cy="1825165"/>
        </a:xfrm>
        <a:prstGeom prst="rect">
          <a:avLst/>
        </a:prstGeom>
      </xdr:spPr>
    </xdr:pic>
    <xdr:clientData/>
  </xdr:twoCellAnchor>
  <xdr:twoCellAnchor editAs="oneCell">
    <xdr:from>
      <xdr:col>0</xdr:col>
      <xdr:colOff>188026</xdr:colOff>
      <xdr:row>29</xdr:row>
      <xdr:rowOff>1101286</xdr:rowOff>
    </xdr:from>
    <xdr:to>
      <xdr:col>1</xdr:col>
      <xdr:colOff>533400</xdr:colOff>
      <xdr:row>29</xdr:row>
      <xdr:rowOff>2909469</xdr:rowOff>
    </xdr:to>
    <xdr:pic>
      <xdr:nvPicPr>
        <xdr:cNvPr id="21" name="Image 20" descr="illusion-optique-viaduc.jpg"/>
        <xdr:cNvPicPr>
          <a:picLocks noChangeAspect="1"/>
        </xdr:cNvPicPr>
      </xdr:nvPicPr>
      <xdr:blipFill>
        <a:blip xmlns:r="http://schemas.openxmlformats.org/officeDocument/2006/relationships" r:embed="rId14" cstate="print"/>
        <a:stretch>
          <a:fillRect/>
        </a:stretch>
      </xdr:blipFill>
      <xdr:spPr>
        <a:xfrm>
          <a:off x="188026" y="18274861"/>
          <a:ext cx="2726624" cy="1808183"/>
        </a:xfrm>
        <a:prstGeom prst="rect">
          <a:avLst/>
        </a:prstGeom>
      </xdr:spPr>
    </xdr:pic>
    <xdr:clientData/>
  </xdr:twoCellAnchor>
  <xdr:twoCellAnchor editAs="oneCell">
    <xdr:from>
      <xdr:col>6</xdr:col>
      <xdr:colOff>90375</xdr:colOff>
      <xdr:row>29</xdr:row>
      <xdr:rowOff>842849</xdr:rowOff>
    </xdr:from>
    <xdr:to>
      <xdr:col>7</xdr:col>
      <xdr:colOff>499612</xdr:colOff>
      <xdr:row>29</xdr:row>
      <xdr:rowOff>2933700</xdr:rowOff>
    </xdr:to>
    <xdr:pic>
      <xdr:nvPicPr>
        <xdr:cNvPr id="22" name="Image 21" descr="Illusion-vieillards.jpg"/>
        <xdr:cNvPicPr>
          <a:picLocks noChangeAspect="1"/>
        </xdr:cNvPicPr>
      </xdr:nvPicPr>
      <xdr:blipFill>
        <a:blip xmlns:r="http://schemas.openxmlformats.org/officeDocument/2006/relationships" r:embed="rId15" cstate="print"/>
        <a:stretch>
          <a:fillRect/>
        </a:stretch>
      </xdr:blipFill>
      <xdr:spPr>
        <a:xfrm>
          <a:off x="6643575" y="18016424"/>
          <a:ext cx="2790487" cy="2090851"/>
        </a:xfrm>
        <a:prstGeom prst="rect">
          <a:avLst/>
        </a:prstGeom>
      </xdr:spPr>
    </xdr:pic>
    <xdr:clientData/>
  </xdr:twoCellAnchor>
  <xdr:twoCellAnchor>
    <xdr:from>
      <xdr:col>7</xdr:col>
      <xdr:colOff>190501</xdr:colOff>
      <xdr:row>0</xdr:row>
      <xdr:rowOff>28575</xdr:rowOff>
    </xdr:from>
    <xdr:to>
      <xdr:col>8</xdr:col>
      <xdr:colOff>66676</xdr:colOff>
      <xdr:row>0</xdr:row>
      <xdr:rowOff>542924</xdr:rowOff>
    </xdr:to>
    <xdr:sp macro="[0]!FERMILL" textlink="">
      <xdr:nvSpPr>
        <xdr:cNvPr id="23" name="Flèche droite rayée 22"/>
        <xdr:cNvSpPr/>
      </xdr:nvSpPr>
      <xdr:spPr>
        <a:xfrm>
          <a:off x="8858251" y="28575"/>
          <a:ext cx="523875" cy="514349"/>
        </a:xfrm>
        <a:prstGeom prst="stripedRightArrow">
          <a:avLst/>
        </a:prstGeom>
        <a:ln>
          <a:noFill/>
        </a:ln>
      </xdr:spPr>
      <xdr:style>
        <a:lnRef idx="2">
          <a:schemeClr val="accent1">
            <a:shade val="50000"/>
          </a:schemeClr>
        </a:lnRef>
        <a:fillRef idx="1003">
          <a:schemeClr val="dk1"/>
        </a:fillRef>
        <a:effectRef idx="0">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editAs="oneCell">
    <xdr:from>
      <xdr:col>6</xdr:col>
      <xdr:colOff>409575</xdr:colOff>
      <xdr:row>35</xdr:row>
      <xdr:rowOff>133351</xdr:rowOff>
    </xdr:from>
    <xdr:to>
      <xdr:col>7</xdr:col>
      <xdr:colOff>164391</xdr:colOff>
      <xdr:row>35</xdr:row>
      <xdr:rowOff>2838451</xdr:rowOff>
    </xdr:to>
    <xdr:pic>
      <xdr:nvPicPr>
        <xdr:cNvPr id="66561" name="Picture 1" descr="http://www.delmas-optique.fr/gfx/illusion/illusionsart10.jpg"/>
        <xdr:cNvPicPr>
          <a:picLocks noChangeAspect="1" noChangeArrowheads="1"/>
        </xdr:cNvPicPr>
      </xdr:nvPicPr>
      <xdr:blipFill>
        <a:blip xmlns:r="http://schemas.openxmlformats.org/officeDocument/2006/relationships" r:embed="rId16" cstate="print"/>
        <a:srcRect/>
        <a:stretch>
          <a:fillRect/>
        </a:stretch>
      </xdr:blipFill>
      <xdr:spPr bwMode="auto">
        <a:xfrm>
          <a:off x="6962775" y="21478876"/>
          <a:ext cx="2136066" cy="2705100"/>
        </a:xfrm>
        <a:prstGeom prst="rect">
          <a:avLst/>
        </a:prstGeom>
        <a:noFill/>
      </xdr:spPr>
    </xdr:pic>
    <xdr:clientData/>
  </xdr:twoCellAnchor>
  <xdr:twoCellAnchor editAs="oneCell">
    <xdr:from>
      <xdr:col>0</xdr:col>
      <xdr:colOff>390525</xdr:colOff>
      <xdr:row>35</xdr:row>
      <xdr:rowOff>142876</xdr:rowOff>
    </xdr:from>
    <xdr:to>
      <xdr:col>1</xdr:col>
      <xdr:colOff>207530</xdr:colOff>
      <xdr:row>35</xdr:row>
      <xdr:rowOff>2886076</xdr:rowOff>
    </xdr:to>
    <xdr:pic>
      <xdr:nvPicPr>
        <xdr:cNvPr id="66562" name="Picture 2" descr="18 illusions optiques plus qui feront exploser la tête"/>
        <xdr:cNvPicPr>
          <a:picLocks noChangeAspect="1" noChangeArrowheads="1"/>
        </xdr:cNvPicPr>
      </xdr:nvPicPr>
      <xdr:blipFill>
        <a:blip xmlns:r="http://schemas.openxmlformats.org/officeDocument/2006/relationships" r:embed="rId17" cstate="print"/>
        <a:srcRect/>
        <a:stretch>
          <a:fillRect/>
        </a:stretch>
      </xdr:blipFill>
      <xdr:spPr bwMode="auto">
        <a:xfrm>
          <a:off x="390525" y="21488401"/>
          <a:ext cx="2198255" cy="2743200"/>
        </a:xfrm>
        <a:prstGeom prst="rect">
          <a:avLst/>
        </a:prstGeom>
        <a:noFill/>
      </xdr:spPr>
    </xdr:pic>
    <xdr:clientData/>
  </xdr:twoCellAnchor>
  <xdr:twoCellAnchor>
    <xdr:from>
      <xdr:col>0</xdr:col>
      <xdr:colOff>95250</xdr:colOff>
      <xdr:row>0</xdr:row>
      <xdr:rowOff>114300</xdr:rowOff>
    </xdr:from>
    <xdr:to>
      <xdr:col>0</xdr:col>
      <xdr:colOff>438150</xdr:colOff>
      <xdr:row>0</xdr:row>
      <xdr:rowOff>447675</xdr:rowOff>
    </xdr:to>
    <xdr:sp macro="[0]!SUPPILL" textlink="">
      <xdr:nvSpPr>
        <xdr:cNvPr id="24" name="Ellipse 23"/>
        <xdr:cNvSpPr/>
      </xdr:nvSpPr>
      <xdr:spPr>
        <a:xfrm>
          <a:off x="95250" y="114300"/>
          <a:ext cx="342900" cy="333375"/>
        </a:xfrm>
        <a:prstGeom prst="ellipse">
          <a:avLst/>
        </a:prstGeom>
        <a:effectLst>
          <a:glow rad="63500">
            <a:schemeClr val="accent2">
              <a:satMod val="175000"/>
              <a:alpha val="40000"/>
            </a:schemeClr>
          </a:glow>
          <a:outerShdw blurRad="50800" dist="38100" dir="18900000" algn="bl" rotWithShape="0">
            <a:prstClr val="black">
              <a:alpha val="40000"/>
            </a:prstClr>
          </a:outerShdw>
        </a:effectLst>
        <a:scene3d>
          <a:camera prst="orthographicFront">
            <a:rot lat="0" lon="0" rev="0"/>
          </a:camera>
          <a:lightRig rig="threePt" dir="t">
            <a:rot lat="0" lon="0" rev="1200000"/>
          </a:lightRig>
        </a:scene3d>
        <a:sp3d>
          <a:bevelT w="63500" h="25400" prst="riblet"/>
        </a:sp3d>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fr-FR" sz="1100"/>
        </a:p>
      </xdr:txBody>
    </xdr:sp>
    <xdr:clientData/>
  </xdr:twoCellAnchor>
  <xdr:twoCellAnchor editAs="oneCell">
    <xdr:from>
      <xdr:col>3</xdr:col>
      <xdr:colOff>1133475</xdr:colOff>
      <xdr:row>35</xdr:row>
      <xdr:rowOff>104774</xdr:rowOff>
    </xdr:from>
    <xdr:to>
      <xdr:col>3</xdr:col>
      <xdr:colOff>2038350</xdr:colOff>
      <xdr:row>35</xdr:row>
      <xdr:rowOff>2847975</xdr:rowOff>
    </xdr:to>
    <xdr:pic macro="[0]!ZIMP">
      <xdr:nvPicPr>
        <xdr:cNvPr id="6" name="Picture 1"/>
        <xdr:cNvPicPr>
          <a:picLocks noChangeAspect="1" noChangeArrowheads="1"/>
        </xdr:cNvPicPr>
      </xdr:nvPicPr>
      <xdr:blipFill>
        <a:blip xmlns:r="http://schemas.openxmlformats.org/officeDocument/2006/relationships" r:embed="rId18" cstate="print"/>
        <a:srcRect/>
        <a:stretch>
          <a:fillRect/>
        </a:stretch>
      </xdr:blipFill>
      <xdr:spPr bwMode="auto">
        <a:xfrm>
          <a:off x="4276725" y="20878799"/>
          <a:ext cx="904875" cy="2743201"/>
        </a:xfrm>
        <a:prstGeom prst="rect">
          <a:avLst/>
        </a:prstGeom>
        <a:noFill/>
        <a:ln w="1">
          <a:noFill/>
          <a:miter lim="800000"/>
          <a:headEnd/>
          <a:tailEnd type="none" w="med" len="med"/>
        </a:ln>
        <a:effectLst/>
      </xdr:spPr>
    </xdr:pic>
    <xdr:clientData/>
  </xdr:twoCellAnchor>
  <xdr:twoCellAnchor editAs="oneCell">
    <xdr:from>
      <xdr:col>10</xdr:col>
      <xdr:colOff>752474</xdr:colOff>
      <xdr:row>2</xdr:row>
      <xdr:rowOff>38100</xdr:rowOff>
    </xdr:from>
    <xdr:to>
      <xdr:col>16384</xdr:col>
      <xdr:colOff>762000</xdr:colOff>
      <xdr:row>16</xdr:row>
      <xdr:rowOff>76200</xdr:rowOff>
    </xdr:to>
    <xdr:pic>
      <xdr:nvPicPr>
        <xdr:cNvPr id="25" name="Picture 1"/>
        <xdr:cNvPicPr>
          <a:picLocks noChangeAspect="1" noChangeArrowheads="1"/>
        </xdr:cNvPicPr>
      </xdr:nvPicPr>
      <xdr:blipFill>
        <a:blip xmlns:r="http://schemas.openxmlformats.org/officeDocument/2006/relationships" r:embed="rId18" cstate="print"/>
        <a:srcRect/>
        <a:stretch>
          <a:fillRect/>
        </a:stretch>
      </xdr:blipFill>
      <xdr:spPr bwMode="auto">
        <a:xfrm>
          <a:off x="10944224" y="1000125"/>
          <a:ext cx="2466975" cy="8229600"/>
        </a:xfrm>
        <a:prstGeom prst="rect">
          <a:avLst/>
        </a:prstGeom>
        <a:noFill/>
        <a:ln w="1">
          <a:noFill/>
          <a:miter lim="800000"/>
          <a:headEnd/>
          <a:tailEnd type="none" w="med" len="med"/>
        </a:ln>
        <a:effec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2867483</xdr:colOff>
      <xdr:row>1</xdr:row>
      <xdr:rowOff>3619499</xdr:rowOff>
    </xdr:from>
    <xdr:to>
      <xdr:col>0</xdr:col>
      <xdr:colOff>3362325</xdr:colOff>
      <xdr:row>1</xdr:row>
      <xdr:rowOff>4111968</xdr:rowOff>
    </xdr:to>
    <xdr:pic>
      <xdr:nvPicPr>
        <xdr:cNvPr id="2" name="Image 1" descr="Capture.PNG">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2867483" y="4571999"/>
          <a:ext cx="494842" cy="492469"/>
        </a:xfrm>
        <a:prstGeom prst="rect">
          <a:avLst/>
        </a:prstGeom>
      </xdr:spPr>
    </xdr:pic>
    <xdr:clientData/>
  </xdr:twoCellAnchor>
  <xdr:twoCellAnchor editAs="oneCell">
    <xdr:from>
      <xdr:col>0</xdr:col>
      <xdr:colOff>45226</xdr:colOff>
      <xdr:row>0</xdr:row>
      <xdr:rowOff>28575</xdr:rowOff>
    </xdr:from>
    <xdr:to>
      <xdr:col>0</xdr:col>
      <xdr:colOff>2924176</xdr:colOff>
      <xdr:row>0</xdr:row>
      <xdr:rowOff>910319</xdr:rowOff>
    </xdr:to>
    <xdr:pic>
      <xdr:nvPicPr>
        <xdr:cNvPr id="3" name="Image 2" descr="Capture2.PNG">
          <a:hlinkClick xmlns:r="http://schemas.openxmlformats.org/officeDocument/2006/relationships" r:id="rId1"/>
        </xdr:cNvPr>
        <xdr:cNvPicPr>
          <a:picLocks noChangeAspect="1"/>
        </xdr:cNvPicPr>
      </xdr:nvPicPr>
      <xdr:blipFill>
        <a:blip xmlns:r="http://schemas.openxmlformats.org/officeDocument/2006/relationships" r:embed="rId3" cstate="print"/>
        <a:stretch>
          <a:fillRect/>
        </a:stretch>
      </xdr:blipFill>
      <xdr:spPr>
        <a:xfrm>
          <a:off x="45226" y="28575"/>
          <a:ext cx="2878950" cy="881744"/>
        </a:xfrm>
        <a:prstGeom prst="rect">
          <a:avLst/>
        </a:prstGeom>
      </xdr:spPr>
    </xdr:pic>
    <xdr:clientData/>
  </xdr:twoCellAnchor>
  <xdr:twoCellAnchor>
    <xdr:from>
      <xdr:col>0</xdr:col>
      <xdr:colOff>5372100</xdr:colOff>
      <xdr:row>0</xdr:row>
      <xdr:rowOff>104775</xdr:rowOff>
    </xdr:from>
    <xdr:to>
      <xdr:col>0</xdr:col>
      <xdr:colOff>5991225</xdr:colOff>
      <xdr:row>0</xdr:row>
      <xdr:rowOff>771525</xdr:rowOff>
    </xdr:to>
    <xdr:sp macro="" textlink="">
      <xdr:nvSpPr>
        <xdr:cNvPr id="4" name="Flèche droite rayée 3">
          <a:hlinkClick xmlns:r="http://schemas.openxmlformats.org/officeDocument/2006/relationships" r:id="rId4"/>
        </xdr:cNvPr>
        <xdr:cNvSpPr/>
      </xdr:nvSpPr>
      <xdr:spPr>
        <a:xfrm>
          <a:off x="5372100" y="104775"/>
          <a:ext cx="619125" cy="666750"/>
        </a:xfrm>
        <a:prstGeom prst="stripedRightArrow">
          <a:avLst/>
        </a:prstGeom>
        <a:solidFill>
          <a:srgbClr val="008000"/>
        </a:solidFill>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editAs="oneCell">
    <xdr:from>
      <xdr:col>0</xdr:col>
      <xdr:colOff>438151</xdr:colOff>
      <xdr:row>2</xdr:row>
      <xdr:rowOff>390525</xdr:rowOff>
    </xdr:from>
    <xdr:to>
      <xdr:col>0</xdr:col>
      <xdr:colOff>742951</xdr:colOff>
      <xdr:row>2</xdr:row>
      <xdr:rowOff>812730</xdr:rowOff>
    </xdr:to>
    <xdr:pic macro="[0]!Feuil35.INDICENIV1">
      <xdr:nvPicPr>
        <xdr:cNvPr id="61441" name="Picture 1" descr="C:\Users\Steven\AppData\Local\Microsoft\Windows\INetCache\IE\71NYDPW2\bulb-310821_640[1].png"/>
        <xdr:cNvPicPr>
          <a:picLocks noChangeAspect="1" noChangeArrowheads="1"/>
        </xdr:cNvPicPr>
      </xdr:nvPicPr>
      <xdr:blipFill>
        <a:blip xmlns:r="http://schemas.openxmlformats.org/officeDocument/2006/relationships" r:embed="rId5" cstate="print"/>
        <a:srcRect/>
        <a:stretch>
          <a:fillRect/>
        </a:stretch>
      </xdr:blipFill>
      <xdr:spPr bwMode="auto">
        <a:xfrm>
          <a:off x="438151" y="5762625"/>
          <a:ext cx="304800" cy="422205"/>
        </a:xfrm>
        <a:prstGeom prst="rect">
          <a:avLst/>
        </a:prstGeom>
        <a:noFill/>
      </xdr:spPr>
    </xdr:pic>
    <xdr:clientData/>
  </xdr:twoCellAnchor>
  <xdr:twoCellAnchor editAs="oneCell">
    <xdr:from>
      <xdr:col>0</xdr:col>
      <xdr:colOff>4676776</xdr:colOff>
      <xdr:row>2</xdr:row>
      <xdr:rowOff>428625</xdr:rowOff>
    </xdr:from>
    <xdr:to>
      <xdr:col>0</xdr:col>
      <xdr:colOff>4981576</xdr:colOff>
      <xdr:row>2</xdr:row>
      <xdr:rowOff>850830</xdr:rowOff>
    </xdr:to>
    <xdr:pic macro="[0]!Feuil35.INDICENIV3">
      <xdr:nvPicPr>
        <xdr:cNvPr id="6" name="Picture 1" descr="C:\Users\Steven\AppData\Local\Microsoft\Windows\INetCache\IE\71NYDPW2\bulb-310821_640[1].png"/>
        <xdr:cNvPicPr>
          <a:picLocks noChangeAspect="1" noChangeArrowheads="1"/>
        </xdr:cNvPicPr>
      </xdr:nvPicPr>
      <xdr:blipFill>
        <a:blip xmlns:r="http://schemas.openxmlformats.org/officeDocument/2006/relationships" r:embed="rId5" cstate="print"/>
        <a:srcRect/>
        <a:stretch>
          <a:fillRect/>
        </a:stretch>
      </xdr:blipFill>
      <xdr:spPr bwMode="auto">
        <a:xfrm>
          <a:off x="4676776" y="6010275"/>
          <a:ext cx="304800" cy="422205"/>
        </a:xfrm>
        <a:prstGeom prst="rect">
          <a:avLst/>
        </a:prstGeom>
        <a:noFill/>
      </xdr:spPr>
    </xdr:pic>
    <xdr:clientData/>
  </xdr:twoCellAnchor>
  <xdr:twoCellAnchor editAs="oneCell">
    <xdr:from>
      <xdr:col>0</xdr:col>
      <xdr:colOff>2571751</xdr:colOff>
      <xdr:row>2</xdr:row>
      <xdr:rowOff>409575</xdr:rowOff>
    </xdr:from>
    <xdr:to>
      <xdr:col>0</xdr:col>
      <xdr:colOff>2876551</xdr:colOff>
      <xdr:row>2</xdr:row>
      <xdr:rowOff>831780</xdr:rowOff>
    </xdr:to>
    <xdr:pic macro="[0]!Feuil35.INDICENIV2">
      <xdr:nvPicPr>
        <xdr:cNvPr id="7" name="Picture 1" descr="C:\Users\Steven\AppData\Local\Microsoft\Windows\INetCache\IE\71NYDPW2\bulb-310821_640[1].png"/>
        <xdr:cNvPicPr>
          <a:picLocks noChangeAspect="1" noChangeArrowheads="1"/>
        </xdr:cNvPicPr>
      </xdr:nvPicPr>
      <xdr:blipFill>
        <a:blip xmlns:r="http://schemas.openxmlformats.org/officeDocument/2006/relationships" r:embed="rId5" cstate="print"/>
        <a:srcRect/>
        <a:stretch>
          <a:fillRect/>
        </a:stretch>
      </xdr:blipFill>
      <xdr:spPr bwMode="auto">
        <a:xfrm>
          <a:off x="2571751" y="5991225"/>
          <a:ext cx="304800" cy="422205"/>
        </a:xfrm>
        <a:prstGeom prst="rect">
          <a:avLst/>
        </a:prstGeom>
        <a:noFill/>
      </xdr:spPr>
    </xdr:pic>
    <xdr:clientData/>
  </xdr:twoCellAnchor>
  <xdr:twoCellAnchor editAs="oneCell">
    <xdr:from>
      <xdr:col>0</xdr:col>
      <xdr:colOff>981533</xdr:colOff>
      <xdr:row>2</xdr:row>
      <xdr:rowOff>428624</xdr:rowOff>
    </xdr:from>
    <xdr:to>
      <xdr:col>0</xdr:col>
      <xdr:colOff>1345228</xdr:colOff>
      <xdr:row>2</xdr:row>
      <xdr:rowOff>790575</xdr:rowOff>
    </xdr:to>
    <xdr:pic macro="[0]!Feuil35.REPONSENIV1">
      <xdr:nvPicPr>
        <xdr:cNvPr id="8" name="Image 7" descr="Capture.PNG"/>
        <xdr:cNvPicPr>
          <a:picLocks noChangeAspect="1"/>
        </xdr:cNvPicPr>
      </xdr:nvPicPr>
      <xdr:blipFill>
        <a:blip xmlns:r="http://schemas.openxmlformats.org/officeDocument/2006/relationships" r:embed="rId2" cstate="print"/>
        <a:stretch>
          <a:fillRect/>
        </a:stretch>
      </xdr:blipFill>
      <xdr:spPr>
        <a:xfrm>
          <a:off x="981533" y="5800724"/>
          <a:ext cx="363695" cy="361951"/>
        </a:xfrm>
        <a:prstGeom prst="rect">
          <a:avLst/>
        </a:prstGeom>
      </xdr:spPr>
    </xdr:pic>
    <xdr:clientData/>
  </xdr:twoCellAnchor>
  <xdr:twoCellAnchor editAs="oneCell">
    <xdr:from>
      <xdr:col>0</xdr:col>
      <xdr:colOff>3115133</xdr:colOff>
      <xdr:row>2</xdr:row>
      <xdr:rowOff>409574</xdr:rowOff>
    </xdr:from>
    <xdr:to>
      <xdr:col>0</xdr:col>
      <xdr:colOff>3478828</xdr:colOff>
      <xdr:row>2</xdr:row>
      <xdr:rowOff>771525</xdr:rowOff>
    </xdr:to>
    <xdr:pic macro="[0]!Feuil35.REPONSENIV2">
      <xdr:nvPicPr>
        <xdr:cNvPr id="9" name="Image 8" descr="Capture.PNG"/>
        <xdr:cNvPicPr>
          <a:picLocks noChangeAspect="1"/>
        </xdr:cNvPicPr>
      </xdr:nvPicPr>
      <xdr:blipFill>
        <a:blip xmlns:r="http://schemas.openxmlformats.org/officeDocument/2006/relationships" r:embed="rId2" cstate="print"/>
        <a:stretch>
          <a:fillRect/>
        </a:stretch>
      </xdr:blipFill>
      <xdr:spPr>
        <a:xfrm>
          <a:off x="3115133" y="5781674"/>
          <a:ext cx="363695" cy="361951"/>
        </a:xfrm>
        <a:prstGeom prst="rect">
          <a:avLst/>
        </a:prstGeom>
      </xdr:spPr>
    </xdr:pic>
    <xdr:clientData/>
  </xdr:twoCellAnchor>
  <xdr:twoCellAnchor editAs="oneCell">
    <xdr:from>
      <xdr:col>0</xdr:col>
      <xdr:colOff>5162550</xdr:colOff>
      <xdr:row>2</xdr:row>
      <xdr:rowOff>428625</xdr:rowOff>
    </xdr:from>
    <xdr:to>
      <xdr:col>0</xdr:col>
      <xdr:colOff>5526245</xdr:colOff>
      <xdr:row>2</xdr:row>
      <xdr:rowOff>790576</xdr:rowOff>
    </xdr:to>
    <xdr:pic macro="[0]!Feuil35.REPONSENIV3">
      <xdr:nvPicPr>
        <xdr:cNvPr id="10" name="Image 9" descr="Capture.PNG"/>
        <xdr:cNvPicPr>
          <a:picLocks noChangeAspect="1"/>
        </xdr:cNvPicPr>
      </xdr:nvPicPr>
      <xdr:blipFill>
        <a:blip xmlns:r="http://schemas.openxmlformats.org/officeDocument/2006/relationships" r:embed="rId2" cstate="print"/>
        <a:stretch>
          <a:fillRect/>
        </a:stretch>
      </xdr:blipFill>
      <xdr:spPr>
        <a:xfrm>
          <a:off x="5162550" y="5800725"/>
          <a:ext cx="363695" cy="361951"/>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xdr:from>
      <xdr:col>1</xdr:col>
      <xdr:colOff>5400675</xdr:colOff>
      <xdr:row>0</xdr:row>
      <xdr:rowOff>28575</xdr:rowOff>
    </xdr:from>
    <xdr:to>
      <xdr:col>1</xdr:col>
      <xdr:colOff>5886448</xdr:colOff>
      <xdr:row>2</xdr:row>
      <xdr:rowOff>276225</xdr:rowOff>
    </xdr:to>
    <xdr:sp macro="[0]!FERMSOMADD" textlink="">
      <xdr:nvSpPr>
        <xdr:cNvPr id="2" name="Flèche droite rayée 1"/>
        <xdr:cNvSpPr/>
      </xdr:nvSpPr>
      <xdr:spPr>
        <a:xfrm>
          <a:off x="6162675" y="28575"/>
          <a:ext cx="485773" cy="628650"/>
        </a:xfrm>
        <a:prstGeom prst="stripedRightArrow">
          <a:avLst/>
        </a:prstGeom>
        <a:solidFill>
          <a:srgbClr val="008000"/>
        </a:solidFill>
        <a:ln>
          <a:solidFill>
            <a:schemeClr val="tx2">
              <a:lumMod val="75000"/>
            </a:schemeClr>
          </a:solidFill>
        </a:ln>
      </xdr:spPr>
      <xdr:style>
        <a:lnRef idx="1">
          <a:schemeClr val="accent5"/>
        </a:lnRef>
        <a:fillRef idx="1003">
          <a:schemeClr val="dk2"/>
        </a:fillRef>
        <a:effectRef idx="2">
          <a:schemeClr val="accent5"/>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1</xdr:col>
      <xdr:colOff>95251</xdr:colOff>
      <xdr:row>3</xdr:row>
      <xdr:rowOff>142875</xdr:rowOff>
    </xdr:from>
    <xdr:to>
      <xdr:col>1</xdr:col>
      <xdr:colOff>1819275</xdr:colOff>
      <xdr:row>3</xdr:row>
      <xdr:rowOff>190501</xdr:rowOff>
    </xdr:to>
    <xdr:sp macro="[0]!OUVADD" textlink="">
      <xdr:nvSpPr>
        <xdr:cNvPr id="3" name="Rectangle 2"/>
        <xdr:cNvSpPr/>
      </xdr:nvSpPr>
      <xdr:spPr>
        <a:xfrm>
          <a:off x="438151" y="828675"/>
          <a:ext cx="1724024" cy="47626"/>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0</xdr:col>
      <xdr:colOff>333375</xdr:colOff>
      <xdr:row>3</xdr:row>
      <xdr:rowOff>66675</xdr:rowOff>
    </xdr:from>
    <xdr:to>
      <xdr:col>0</xdr:col>
      <xdr:colOff>442913</xdr:colOff>
      <xdr:row>3</xdr:row>
      <xdr:rowOff>166687</xdr:rowOff>
    </xdr:to>
    <xdr:sp macro="[0]!DELADD" textlink="">
      <xdr:nvSpPr>
        <xdr:cNvPr id="4" name="Ellipse 3"/>
        <xdr:cNvSpPr/>
      </xdr:nvSpPr>
      <xdr:spPr>
        <a:xfrm>
          <a:off x="333375" y="447675"/>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76199</xdr:colOff>
      <xdr:row>5</xdr:row>
      <xdr:rowOff>76200</xdr:rowOff>
    </xdr:from>
    <xdr:to>
      <xdr:col>1</xdr:col>
      <xdr:colOff>2238374</xdr:colOff>
      <xdr:row>5</xdr:row>
      <xdr:rowOff>152400</xdr:rowOff>
    </xdr:to>
    <xdr:sp macro="[0]!OUVADD2" textlink="">
      <xdr:nvSpPr>
        <xdr:cNvPr id="6" name="Rectangle 5"/>
        <xdr:cNvSpPr/>
      </xdr:nvSpPr>
      <xdr:spPr>
        <a:xfrm>
          <a:off x="419099" y="1247775"/>
          <a:ext cx="2162175" cy="762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0</xdr:col>
      <xdr:colOff>333375</xdr:colOff>
      <xdr:row>5</xdr:row>
      <xdr:rowOff>66675</xdr:rowOff>
    </xdr:from>
    <xdr:to>
      <xdr:col>0</xdr:col>
      <xdr:colOff>442913</xdr:colOff>
      <xdr:row>5</xdr:row>
      <xdr:rowOff>166687</xdr:rowOff>
    </xdr:to>
    <xdr:sp macro="[0]!DELADD" textlink="">
      <xdr:nvSpPr>
        <xdr:cNvPr id="7" name="Ellipse 6"/>
        <xdr:cNvSpPr/>
      </xdr:nvSpPr>
      <xdr:spPr>
        <a:xfrm>
          <a:off x="333375" y="638175"/>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123825</xdr:colOff>
      <xdr:row>3</xdr:row>
      <xdr:rowOff>209550</xdr:rowOff>
    </xdr:from>
    <xdr:to>
      <xdr:col>0</xdr:col>
      <xdr:colOff>233363</xdr:colOff>
      <xdr:row>4</xdr:row>
      <xdr:rowOff>14287</xdr:rowOff>
    </xdr:to>
    <xdr:sp macro="[0]!DELADD" textlink="">
      <xdr:nvSpPr>
        <xdr:cNvPr id="9" name="Ellipse 8"/>
        <xdr:cNvSpPr/>
      </xdr:nvSpPr>
      <xdr:spPr>
        <a:xfrm>
          <a:off x="123825" y="895350"/>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114300</xdr:colOff>
      <xdr:row>5</xdr:row>
      <xdr:rowOff>114300</xdr:rowOff>
    </xdr:from>
    <xdr:to>
      <xdr:col>0</xdr:col>
      <xdr:colOff>223838</xdr:colOff>
      <xdr:row>6</xdr:row>
      <xdr:rowOff>23812</xdr:rowOff>
    </xdr:to>
    <xdr:sp macro="[0]!DELADD2" textlink="">
      <xdr:nvSpPr>
        <xdr:cNvPr id="11" name="Ellipse 10"/>
        <xdr:cNvSpPr/>
      </xdr:nvSpPr>
      <xdr:spPr>
        <a:xfrm>
          <a:off x="114300" y="1285875"/>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1809750</xdr:colOff>
      <xdr:row>5</xdr:row>
      <xdr:rowOff>19051</xdr:rowOff>
    </xdr:from>
    <xdr:to>
      <xdr:col>1</xdr:col>
      <xdr:colOff>2296795</xdr:colOff>
      <xdr:row>5</xdr:row>
      <xdr:rowOff>180975</xdr:rowOff>
    </xdr:to>
    <xdr:sp macro="" textlink="">
      <xdr:nvSpPr>
        <xdr:cNvPr id="12" name="Rectangle à coins arrondis 11"/>
        <xdr:cNvSpPr/>
      </xdr:nvSpPr>
      <xdr:spPr>
        <a:xfrm>
          <a:off x="2152650" y="1190626"/>
          <a:ext cx="487045" cy="161924"/>
        </a:xfrm>
        <a:prstGeom prst="roundRect">
          <a:avLst/>
        </a:prstGeom>
        <a:solidFill>
          <a:srgbClr val="FFCC00"/>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a:ln>
                <a:solidFill>
                  <a:srgbClr val="008000"/>
                </a:solidFill>
              </a:ln>
              <a:solidFill>
                <a:srgbClr val="008000"/>
              </a:solidFill>
            </a:rPr>
            <a:t>Bonus</a:t>
          </a:r>
        </a:p>
      </xdr:txBody>
    </xdr:sp>
    <xdr:clientData/>
  </xdr:twoCellAnchor>
  <xdr:twoCellAnchor>
    <xdr:from>
      <xdr:col>1</xdr:col>
      <xdr:colOff>76199</xdr:colOff>
      <xdr:row>9</xdr:row>
      <xdr:rowOff>76200</xdr:rowOff>
    </xdr:from>
    <xdr:to>
      <xdr:col>1</xdr:col>
      <xdr:colOff>2238374</xdr:colOff>
      <xdr:row>9</xdr:row>
      <xdr:rowOff>152400</xdr:rowOff>
    </xdr:to>
    <xdr:sp macro="[0]!OUVADD2" textlink="">
      <xdr:nvSpPr>
        <xdr:cNvPr id="13" name="Rectangle 12"/>
        <xdr:cNvSpPr/>
      </xdr:nvSpPr>
      <xdr:spPr>
        <a:xfrm>
          <a:off x="419099" y="1247775"/>
          <a:ext cx="2162175" cy="762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1</xdr:col>
      <xdr:colOff>104775</xdr:colOff>
      <xdr:row>7</xdr:row>
      <xdr:rowOff>142875</xdr:rowOff>
    </xdr:from>
    <xdr:to>
      <xdr:col>1</xdr:col>
      <xdr:colOff>2266950</xdr:colOff>
      <xdr:row>7</xdr:row>
      <xdr:rowOff>219075</xdr:rowOff>
    </xdr:to>
    <xdr:sp macro="[0]!OUVMYSTNBR" textlink="">
      <xdr:nvSpPr>
        <xdr:cNvPr id="14" name="Rectangle 13"/>
        <xdr:cNvSpPr/>
      </xdr:nvSpPr>
      <xdr:spPr>
        <a:xfrm>
          <a:off x="447675" y="1695450"/>
          <a:ext cx="2162175" cy="76200"/>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0</xdr:col>
      <xdr:colOff>142875</xdr:colOff>
      <xdr:row>7</xdr:row>
      <xdr:rowOff>219075</xdr:rowOff>
    </xdr:from>
    <xdr:to>
      <xdr:col>0</xdr:col>
      <xdr:colOff>252413</xdr:colOff>
      <xdr:row>8</xdr:row>
      <xdr:rowOff>23812</xdr:rowOff>
    </xdr:to>
    <xdr:sp macro="[0]!DELMYSTNBR" textlink="">
      <xdr:nvSpPr>
        <xdr:cNvPr id="15" name="Ellipse 14"/>
        <xdr:cNvSpPr/>
      </xdr:nvSpPr>
      <xdr:spPr>
        <a:xfrm>
          <a:off x="142875" y="1771650"/>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3038475</xdr:colOff>
      <xdr:row>7</xdr:row>
      <xdr:rowOff>85725</xdr:rowOff>
    </xdr:from>
    <xdr:to>
      <xdr:col>1</xdr:col>
      <xdr:colOff>3567734</xdr:colOff>
      <xdr:row>7</xdr:row>
      <xdr:rowOff>247862</xdr:rowOff>
    </xdr:to>
    <xdr:sp macro="" textlink="">
      <xdr:nvSpPr>
        <xdr:cNvPr id="16" name="Rectangle à coins arrondis 15"/>
        <xdr:cNvSpPr/>
      </xdr:nvSpPr>
      <xdr:spPr>
        <a:xfrm>
          <a:off x="3381375" y="1638300"/>
          <a:ext cx="529259" cy="162137"/>
        </a:xfrm>
        <a:prstGeom prst="roundRect">
          <a:avLst/>
        </a:prstGeom>
        <a:solidFill>
          <a:srgbClr val="FFC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800" b="1" cap="none" spc="0">
              <a:ln w="11430"/>
              <a:solidFill>
                <a:srgbClr val="FF0000"/>
              </a:solidFill>
              <a:effectLst>
                <a:outerShdw blurRad="50800" dist="39000" dir="5460000" algn="tl">
                  <a:srgbClr val="000000">
                    <a:alpha val="38000"/>
                  </a:srgbClr>
                </a:outerShdw>
              </a:effectLst>
            </a:rPr>
            <a:t>NEW</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8</xdr:col>
      <xdr:colOff>314325</xdr:colOff>
      <xdr:row>0</xdr:row>
      <xdr:rowOff>47625</xdr:rowOff>
    </xdr:from>
    <xdr:to>
      <xdr:col>8</xdr:col>
      <xdr:colOff>742949</xdr:colOff>
      <xdr:row>0</xdr:row>
      <xdr:rowOff>466725</xdr:rowOff>
    </xdr:to>
    <xdr:sp macro="[0]!FERMADD2" textlink="">
      <xdr:nvSpPr>
        <xdr:cNvPr id="2" name="Flèche droite rayée 1"/>
        <xdr:cNvSpPr/>
      </xdr:nvSpPr>
      <xdr:spPr>
        <a:xfrm>
          <a:off x="6143625" y="47625"/>
          <a:ext cx="428624" cy="419100"/>
        </a:xfrm>
        <a:prstGeom prst="stripedRightArrow">
          <a:avLst/>
        </a:prstGeom>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6</xdr:col>
      <xdr:colOff>419100</xdr:colOff>
      <xdr:row>4</xdr:row>
      <xdr:rowOff>47625</xdr:rowOff>
    </xdr:from>
    <xdr:to>
      <xdr:col>7</xdr:col>
      <xdr:colOff>266700</xdr:colOff>
      <xdr:row>4</xdr:row>
      <xdr:rowOff>152400</xdr:rowOff>
    </xdr:to>
    <xdr:sp macro="[0]!Decompte" textlink="">
      <xdr:nvSpPr>
        <xdr:cNvPr id="3" name="Ellipse 2"/>
        <xdr:cNvSpPr/>
      </xdr:nvSpPr>
      <xdr:spPr>
        <a:xfrm>
          <a:off x="4724400" y="1228725"/>
          <a:ext cx="609600" cy="104775"/>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495299</xdr:colOff>
      <xdr:row>7</xdr:row>
      <xdr:rowOff>152399</xdr:rowOff>
    </xdr:from>
    <xdr:to>
      <xdr:col>8</xdr:col>
      <xdr:colOff>228600</xdr:colOff>
      <xdr:row>8</xdr:row>
      <xdr:rowOff>57150</xdr:rowOff>
    </xdr:to>
    <xdr:sp macro="[0]!VersTable11_PageADD2" textlink="">
      <xdr:nvSpPr>
        <xdr:cNvPr id="4" name="Rectangle 3"/>
        <xdr:cNvSpPr/>
      </xdr:nvSpPr>
      <xdr:spPr>
        <a:xfrm>
          <a:off x="990599" y="1924049"/>
          <a:ext cx="5067301" cy="952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704849</xdr:colOff>
      <xdr:row>14</xdr:row>
      <xdr:rowOff>85726</xdr:rowOff>
    </xdr:from>
    <xdr:to>
      <xdr:col>7</xdr:col>
      <xdr:colOff>66674</xdr:colOff>
      <xdr:row>14</xdr:row>
      <xdr:rowOff>142876</xdr:rowOff>
    </xdr:to>
    <xdr:sp macro="[0]!RAZADD2" textlink="">
      <xdr:nvSpPr>
        <xdr:cNvPr id="5" name="Ellipse 4"/>
        <xdr:cNvSpPr/>
      </xdr:nvSpPr>
      <xdr:spPr>
        <a:xfrm>
          <a:off x="4248149" y="3209926"/>
          <a:ext cx="885825" cy="571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10</xdr:col>
      <xdr:colOff>714377</xdr:colOff>
      <xdr:row>0</xdr:row>
      <xdr:rowOff>9525</xdr:rowOff>
    </xdr:from>
    <xdr:to>
      <xdr:col>10</xdr:col>
      <xdr:colOff>1200149</xdr:colOff>
      <xdr:row>0</xdr:row>
      <xdr:rowOff>523875</xdr:rowOff>
    </xdr:to>
    <xdr:sp macro="[0]!FERMPOINTURE" textlink="">
      <xdr:nvSpPr>
        <xdr:cNvPr id="2" name="Flèche droite rayée 1"/>
        <xdr:cNvSpPr/>
      </xdr:nvSpPr>
      <xdr:spPr>
        <a:xfrm>
          <a:off x="9105902" y="9525"/>
          <a:ext cx="485772" cy="428625"/>
        </a:xfrm>
        <a:prstGeom prst="stripedRightArrow">
          <a:avLst/>
        </a:prstGeom>
        <a:ln/>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editAs="oneCell">
    <xdr:from>
      <xdr:col>9</xdr:col>
      <xdr:colOff>695325</xdr:colOff>
      <xdr:row>3</xdr:row>
      <xdr:rowOff>104775</xdr:rowOff>
    </xdr:from>
    <xdr:to>
      <xdr:col>9</xdr:col>
      <xdr:colOff>695325</xdr:colOff>
      <xdr:row>10</xdr:row>
      <xdr:rowOff>142875</xdr:rowOff>
    </xdr:to>
    <xdr:pic>
      <xdr:nvPicPr>
        <xdr:cNvPr id="4" name="Image 3" descr="clip_image002.jpg"/>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blip>
        <a:stretch>
          <a:fillRect/>
        </a:stretch>
      </xdr:blipFill>
      <xdr:spPr>
        <a:xfrm>
          <a:off x="7296150" y="923925"/>
          <a:ext cx="2254625" cy="1666875"/>
        </a:xfrm>
        <a:prstGeom prst="rect">
          <a:avLst/>
        </a:prstGeom>
      </xdr:spPr>
    </xdr:pic>
    <xdr:clientData/>
  </xdr:twoCellAnchor>
  <xdr:twoCellAnchor>
    <xdr:from>
      <xdr:col>10</xdr:col>
      <xdr:colOff>438150</xdr:colOff>
      <xdr:row>2</xdr:row>
      <xdr:rowOff>76200</xdr:rowOff>
    </xdr:from>
    <xdr:to>
      <xdr:col>10</xdr:col>
      <xdr:colOff>923925</xdr:colOff>
      <xdr:row>2</xdr:row>
      <xdr:rowOff>152400</xdr:rowOff>
    </xdr:to>
    <xdr:sp macro="[0]!versPARAPOINTURE" textlink="">
      <xdr:nvSpPr>
        <xdr:cNvPr id="5" name="Rectangle à coins arrondis 4"/>
        <xdr:cNvSpPr/>
      </xdr:nvSpPr>
      <xdr:spPr>
        <a:xfrm>
          <a:off x="8829675" y="704850"/>
          <a:ext cx="485775" cy="762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10</xdr:col>
      <xdr:colOff>180975</xdr:colOff>
      <xdr:row>4</xdr:row>
      <xdr:rowOff>187325</xdr:rowOff>
    </xdr:from>
    <xdr:to>
      <xdr:col>10</xdr:col>
      <xdr:colOff>809625</xdr:colOff>
      <xdr:row>7</xdr:row>
      <xdr:rowOff>139700</xdr:rowOff>
    </xdr:to>
    <xdr:sp macro="[0]!RAZPOINTURE" textlink="" fLocksText="0">
      <xdr:nvSpPr>
        <xdr:cNvPr id="6" name="Étoile à 5 branches 5"/>
        <xdr:cNvSpPr/>
      </xdr:nvSpPr>
      <xdr:spPr>
        <a:xfrm>
          <a:off x="8572500" y="1206500"/>
          <a:ext cx="628650" cy="552450"/>
        </a:xfrm>
        <a:prstGeom prst="star5">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fr-FR" sz="1100"/>
        </a:p>
      </xdr:txBody>
    </xdr:sp>
    <xdr:clientData fLocksWithSheet="0" fPrintsWithSheet="0"/>
  </xdr:twoCellAnchor>
  <xdr:twoCellAnchor>
    <xdr:from>
      <xdr:col>10</xdr:col>
      <xdr:colOff>104775</xdr:colOff>
      <xdr:row>4</xdr:row>
      <xdr:rowOff>114300</xdr:rowOff>
    </xdr:from>
    <xdr:to>
      <xdr:col>10</xdr:col>
      <xdr:colOff>857250</xdr:colOff>
      <xdr:row>8</xdr:row>
      <xdr:rowOff>57150</xdr:rowOff>
    </xdr:to>
    <xdr:sp macro="" textlink="">
      <xdr:nvSpPr>
        <xdr:cNvPr id="7" name="Rectangle 6"/>
        <xdr:cNvSpPr/>
      </xdr:nvSpPr>
      <xdr:spPr>
        <a:xfrm>
          <a:off x="8496300" y="1133475"/>
          <a:ext cx="752475" cy="742950"/>
        </a:xfrm>
        <a:prstGeom prst="rect">
          <a:avLst/>
        </a:prstGeom>
        <a:solidFill>
          <a:srgbClr val="CC99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1</xdr:col>
      <xdr:colOff>5400675</xdr:colOff>
      <xdr:row>0</xdr:row>
      <xdr:rowOff>28575</xdr:rowOff>
    </xdr:from>
    <xdr:to>
      <xdr:col>1</xdr:col>
      <xdr:colOff>5886448</xdr:colOff>
      <xdr:row>2</xdr:row>
      <xdr:rowOff>276225</xdr:rowOff>
    </xdr:to>
    <xdr:sp macro="[0]!FERMSOMADD" textlink="">
      <xdr:nvSpPr>
        <xdr:cNvPr id="2" name="Flèche droite rayée 1"/>
        <xdr:cNvSpPr/>
      </xdr:nvSpPr>
      <xdr:spPr>
        <a:xfrm>
          <a:off x="5743575" y="28575"/>
          <a:ext cx="485773" cy="628650"/>
        </a:xfrm>
        <a:prstGeom prst="stripedRightArrow">
          <a:avLst/>
        </a:prstGeom>
        <a:solidFill>
          <a:srgbClr val="008000"/>
        </a:solidFill>
        <a:ln>
          <a:solidFill>
            <a:schemeClr val="tx2">
              <a:lumMod val="75000"/>
            </a:schemeClr>
          </a:solidFill>
        </a:ln>
      </xdr:spPr>
      <xdr:style>
        <a:lnRef idx="1">
          <a:schemeClr val="accent5"/>
        </a:lnRef>
        <a:fillRef idx="1003">
          <a:schemeClr val="dk2"/>
        </a:fillRef>
        <a:effectRef idx="2">
          <a:schemeClr val="accent5"/>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1</xdr:col>
      <xdr:colOff>76200</xdr:colOff>
      <xdr:row>3</xdr:row>
      <xdr:rowOff>238125</xdr:rowOff>
    </xdr:from>
    <xdr:to>
      <xdr:col>1</xdr:col>
      <xdr:colOff>2495549</xdr:colOff>
      <xdr:row>3</xdr:row>
      <xdr:rowOff>285750</xdr:rowOff>
    </xdr:to>
    <xdr:sp macro="[0]!OUVCHOCO" textlink="">
      <xdr:nvSpPr>
        <xdr:cNvPr id="3" name="Rectangle 2"/>
        <xdr:cNvSpPr/>
      </xdr:nvSpPr>
      <xdr:spPr>
        <a:xfrm>
          <a:off x="390525" y="952500"/>
          <a:ext cx="2419349" cy="47625"/>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0</xdr:col>
      <xdr:colOff>333375</xdr:colOff>
      <xdr:row>3</xdr:row>
      <xdr:rowOff>66675</xdr:rowOff>
    </xdr:from>
    <xdr:to>
      <xdr:col>0</xdr:col>
      <xdr:colOff>442913</xdr:colOff>
      <xdr:row>3</xdr:row>
      <xdr:rowOff>166687</xdr:rowOff>
    </xdr:to>
    <xdr:sp macro="[0]!DELADD" textlink="">
      <xdr:nvSpPr>
        <xdr:cNvPr id="4" name="Ellipse 3"/>
        <xdr:cNvSpPr/>
      </xdr:nvSpPr>
      <xdr:spPr>
        <a:xfrm>
          <a:off x="333375" y="752475"/>
          <a:ext cx="4763"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2066925</xdr:colOff>
      <xdr:row>5</xdr:row>
      <xdr:rowOff>114300</xdr:rowOff>
    </xdr:from>
    <xdr:to>
      <xdr:col>1</xdr:col>
      <xdr:colOff>2596184</xdr:colOff>
      <xdr:row>6</xdr:row>
      <xdr:rowOff>85937</xdr:rowOff>
    </xdr:to>
    <xdr:sp macro="" textlink="">
      <xdr:nvSpPr>
        <xdr:cNvPr id="5" name="Rectangle à coins arrondis 4"/>
        <xdr:cNvSpPr/>
      </xdr:nvSpPr>
      <xdr:spPr>
        <a:xfrm>
          <a:off x="2381250" y="1314450"/>
          <a:ext cx="529259" cy="162137"/>
        </a:xfrm>
        <a:prstGeom prst="roundRect">
          <a:avLst/>
        </a:prstGeom>
        <a:solidFill>
          <a:srgbClr val="FFC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800" b="1" cap="none" spc="0">
              <a:ln w="11430"/>
              <a:solidFill>
                <a:srgbClr val="FF0000"/>
              </a:solidFill>
              <a:effectLst>
                <a:outerShdw blurRad="50800" dist="39000" dir="5460000" algn="tl">
                  <a:srgbClr val="000000">
                    <a:alpha val="38000"/>
                  </a:srgbClr>
                </a:outerShdw>
              </a:effectLst>
            </a:rPr>
            <a:t>NEW</a:t>
          </a:r>
        </a:p>
      </xdr:txBody>
    </xdr:sp>
    <xdr:clientData/>
  </xdr:twoCellAnchor>
  <xdr:twoCellAnchor>
    <xdr:from>
      <xdr:col>1</xdr:col>
      <xdr:colOff>57150</xdr:colOff>
      <xdr:row>6</xdr:row>
      <xdr:rowOff>1905</xdr:rowOff>
    </xdr:from>
    <xdr:to>
      <xdr:col>1</xdr:col>
      <xdr:colOff>1952625</xdr:colOff>
      <xdr:row>6</xdr:row>
      <xdr:rowOff>47624</xdr:rowOff>
    </xdr:to>
    <xdr:sp macro="[0]!OUVPOINTURE" textlink="">
      <xdr:nvSpPr>
        <xdr:cNvPr id="6" name="Rectangle 5"/>
        <xdr:cNvSpPr/>
      </xdr:nvSpPr>
      <xdr:spPr>
        <a:xfrm>
          <a:off x="371475" y="1392555"/>
          <a:ext cx="1895475" cy="45719"/>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twoCellAnchor>
    <xdr:from>
      <xdr:col>0</xdr:col>
      <xdr:colOff>333375</xdr:colOff>
      <xdr:row>5</xdr:row>
      <xdr:rowOff>66675</xdr:rowOff>
    </xdr:from>
    <xdr:to>
      <xdr:col>0</xdr:col>
      <xdr:colOff>442913</xdr:colOff>
      <xdr:row>5</xdr:row>
      <xdr:rowOff>166687</xdr:rowOff>
    </xdr:to>
    <xdr:sp macro="[0]!DELADD" textlink="">
      <xdr:nvSpPr>
        <xdr:cNvPr id="7" name="Ellipse 6"/>
        <xdr:cNvSpPr/>
      </xdr:nvSpPr>
      <xdr:spPr>
        <a:xfrm>
          <a:off x="333375" y="1238250"/>
          <a:ext cx="4763"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123825</xdr:colOff>
      <xdr:row>3</xdr:row>
      <xdr:rowOff>209550</xdr:rowOff>
    </xdr:from>
    <xdr:to>
      <xdr:col>0</xdr:col>
      <xdr:colOff>233363</xdr:colOff>
      <xdr:row>4</xdr:row>
      <xdr:rowOff>14287</xdr:rowOff>
    </xdr:to>
    <xdr:sp macro="[0]!DELCHOCO" textlink="">
      <xdr:nvSpPr>
        <xdr:cNvPr id="8" name="Ellipse 7"/>
        <xdr:cNvSpPr/>
      </xdr:nvSpPr>
      <xdr:spPr>
        <a:xfrm>
          <a:off x="123825" y="895350"/>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0</xdr:col>
      <xdr:colOff>114300</xdr:colOff>
      <xdr:row>5</xdr:row>
      <xdr:rowOff>114300</xdr:rowOff>
    </xdr:from>
    <xdr:to>
      <xdr:col>0</xdr:col>
      <xdr:colOff>223838</xdr:colOff>
      <xdr:row>6</xdr:row>
      <xdr:rowOff>23812</xdr:rowOff>
    </xdr:to>
    <xdr:sp macro="[0]!DELPOINTURE" textlink="">
      <xdr:nvSpPr>
        <xdr:cNvPr id="10" name="Ellipse 9"/>
        <xdr:cNvSpPr/>
      </xdr:nvSpPr>
      <xdr:spPr>
        <a:xfrm>
          <a:off x="114300" y="1285875"/>
          <a:ext cx="109538" cy="100012"/>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xdr:col>
      <xdr:colOff>4648200</xdr:colOff>
      <xdr:row>0</xdr:row>
      <xdr:rowOff>38100</xdr:rowOff>
    </xdr:from>
    <xdr:to>
      <xdr:col>1</xdr:col>
      <xdr:colOff>5133973</xdr:colOff>
      <xdr:row>2</xdr:row>
      <xdr:rowOff>285750</xdr:rowOff>
    </xdr:to>
    <xdr:sp macro="[0]!FERMSOMAGE" textlink="">
      <xdr:nvSpPr>
        <xdr:cNvPr id="11" name="Flèche droite rayée 10"/>
        <xdr:cNvSpPr/>
      </xdr:nvSpPr>
      <xdr:spPr>
        <a:xfrm>
          <a:off x="4962525" y="38100"/>
          <a:ext cx="485773" cy="628650"/>
        </a:xfrm>
        <a:prstGeom prst="stripedRightArrow">
          <a:avLst/>
        </a:prstGeom>
        <a:solidFill>
          <a:srgbClr val="008000"/>
        </a:solidFill>
        <a:ln>
          <a:solidFill>
            <a:schemeClr val="tx2">
              <a:lumMod val="75000"/>
            </a:schemeClr>
          </a:solidFill>
        </a:ln>
      </xdr:spPr>
      <xdr:style>
        <a:lnRef idx="1">
          <a:schemeClr val="accent5"/>
        </a:lnRef>
        <a:fillRef idx="1003">
          <a:schemeClr val="dk2"/>
        </a:fillRef>
        <a:effectRef idx="2">
          <a:schemeClr val="accent5"/>
        </a:effectRef>
        <a:fontRef idx="minor">
          <a:schemeClr val="lt1"/>
        </a:fontRef>
      </xdr:style>
      <xdr:txBody>
        <a:bodyPr vertOverflow="clip" rtlCol="0" anchor="ctr"/>
        <a:lstStyle/>
        <a:p>
          <a:pPr algn="ctr"/>
          <a:endParaRPr lang="fr-FR" sz="1100">
            <a:solidFill>
              <a:schemeClr val="tx1"/>
            </a:solidFill>
          </a:endParaRPr>
        </a:p>
      </xdr:txBody>
    </xdr:sp>
    <xdr:clientData/>
  </xdr:twoCellAnchor>
  <xdr:twoCellAnchor>
    <xdr:from>
      <xdr:col>1</xdr:col>
      <xdr:colOff>47625</xdr:colOff>
      <xdr:row>4</xdr:row>
      <xdr:rowOff>0</xdr:rowOff>
    </xdr:from>
    <xdr:to>
      <xdr:col>1</xdr:col>
      <xdr:colOff>2495550</xdr:colOff>
      <xdr:row>4</xdr:row>
      <xdr:rowOff>47625</xdr:rowOff>
    </xdr:to>
    <xdr:sp macro="[0]!OUVCHOCO" textlink="">
      <xdr:nvSpPr>
        <xdr:cNvPr id="12" name="Rectangle 11"/>
        <xdr:cNvSpPr/>
      </xdr:nvSpPr>
      <xdr:spPr>
        <a:xfrm>
          <a:off x="361950" y="904875"/>
          <a:ext cx="2447925" cy="47625"/>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fr-FR" sz="1100"/>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10</xdr:col>
      <xdr:colOff>152400</xdr:colOff>
      <xdr:row>0</xdr:row>
      <xdr:rowOff>57151</xdr:rowOff>
    </xdr:from>
    <xdr:to>
      <xdr:col>10</xdr:col>
      <xdr:colOff>695325</xdr:colOff>
      <xdr:row>0</xdr:row>
      <xdr:rowOff>495301</xdr:rowOff>
    </xdr:to>
    <xdr:sp macro="[0]!FERMADD1089" textlink="">
      <xdr:nvSpPr>
        <xdr:cNvPr id="2" name="Flèche droite rayée 1"/>
        <xdr:cNvSpPr/>
      </xdr:nvSpPr>
      <xdr:spPr>
        <a:xfrm>
          <a:off x="7277100" y="57151"/>
          <a:ext cx="542925" cy="438150"/>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10</xdr:col>
      <xdr:colOff>161925</xdr:colOff>
      <xdr:row>0</xdr:row>
      <xdr:rowOff>38100</xdr:rowOff>
    </xdr:from>
    <xdr:to>
      <xdr:col>10</xdr:col>
      <xdr:colOff>704850</xdr:colOff>
      <xdr:row>0</xdr:row>
      <xdr:rowOff>476250</xdr:rowOff>
    </xdr:to>
    <xdr:sp macro="[0]!FERMADD1089" textlink="">
      <xdr:nvSpPr>
        <xdr:cNvPr id="4" name="Flèche droite rayée 3"/>
        <xdr:cNvSpPr/>
      </xdr:nvSpPr>
      <xdr:spPr>
        <a:xfrm>
          <a:off x="7315200" y="38100"/>
          <a:ext cx="542925" cy="438150"/>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38100</xdr:colOff>
      <xdr:row>25</xdr:row>
      <xdr:rowOff>200025</xdr:rowOff>
    </xdr:from>
    <xdr:to>
      <xdr:col>7</xdr:col>
      <xdr:colOff>171450</xdr:colOff>
      <xdr:row>26</xdr:row>
      <xdr:rowOff>9526</xdr:rowOff>
    </xdr:to>
    <xdr:sp macro="[0]!AfficherEtapes1089" textlink="">
      <xdr:nvSpPr>
        <xdr:cNvPr id="5" name="Rectangle 4"/>
        <xdr:cNvSpPr/>
      </xdr:nvSpPr>
      <xdr:spPr>
        <a:xfrm>
          <a:off x="3200400" y="5381625"/>
          <a:ext cx="1657350" cy="476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10</xdr:col>
      <xdr:colOff>161925</xdr:colOff>
      <xdr:row>0</xdr:row>
      <xdr:rowOff>38100</xdr:rowOff>
    </xdr:from>
    <xdr:to>
      <xdr:col>10</xdr:col>
      <xdr:colOff>704850</xdr:colOff>
      <xdr:row>0</xdr:row>
      <xdr:rowOff>476250</xdr:rowOff>
    </xdr:to>
    <xdr:sp macro="[0]!FERMADD95" textlink="">
      <xdr:nvSpPr>
        <xdr:cNvPr id="2" name="Flèche droite rayée 1"/>
        <xdr:cNvSpPr/>
      </xdr:nvSpPr>
      <xdr:spPr>
        <a:xfrm>
          <a:off x="7315200" y="38100"/>
          <a:ext cx="542925" cy="438150"/>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8</xdr:col>
      <xdr:colOff>676275</xdr:colOff>
      <xdr:row>9</xdr:row>
      <xdr:rowOff>76200</xdr:rowOff>
    </xdr:from>
    <xdr:to>
      <xdr:col>10</xdr:col>
      <xdr:colOff>85725</xdr:colOff>
      <xdr:row>9</xdr:row>
      <xdr:rowOff>133350</xdr:rowOff>
    </xdr:to>
    <xdr:sp macro="[0]!HAZARD95" textlink="">
      <xdr:nvSpPr>
        <xdr:cNvPr id="4" name="Rectangle 3"/>
        <xdr:cNvSpPr/>
      </xdr:nvSpPr>
      <xdr:spPr>
        <a:xfrm>
          <a:off x="6096000" y="1771650"/>
          <a:ext cx="933450" cy="571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queryTables/queryTable1.xml><?xml version="1.0" encoding="utf-8"?>
<queryTable xmlns="http://schemas.openxmlformats.org/spreadsheetml/2006/main" name="magie-interactive-et-jeux-divers-no174_65" preserveFormatting="0" connectionId="274"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magie-interactive-et-jeux-divers-no174_103" preserveFormatting="0" connectionId="7"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magie-interactive-et-jeux-divers-no174_257" preserveFormatting="0" connectionId="178"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magie-interactive-et-jeux-divers-no174_80" preserveFormatting="0" connectionId="291"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magie-interactive-et-jeux-divers-no174_206" preserveFormatting="0" connectionId="122"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magie-interactive-et-jeux-divers-no174_93" preserveFormatting="0" connectionId="305" autoFormatId="16" applyNumberFormats="0" applyBorderFormats="0" applyFontFormats="1" applyPatternFormats="1" applyAlignmentFormats="0" applyWidthHeightFormats="0"/>
</file>

<file path=xl/queryTables/queryTable7.xml><?xml version="1.0" encoding="utf-8"?>
<queryTable xmlns="http://schemas.openxmlformats.org/spreadsheetml/2006/main" name="magie-interactive-et-jeux-divers-no174_118" preserveFormatting="0" connectionId="24" autoFormatId="16" applyNumberFormats="0" applyBorderFormats="0" applyFontFormats="1" applyPatternFormats="1" applyAlignmentFormats="0" applyWidthHeightFormats="0"/>
</file>

<file path=xl/queryTables/queryTable8.xml><?xml version="1.0" encoding="utf-8"?>
<queryTable xmlns="http://schemas.openxmlformats.org/spreadsheetml/2006/main" name="magie-interactive-et-jeux-divers-no174_291" preserveFormatting="0" connectionId="217" autoFormatId="16" applyNumberFormats="0" applyBorderFormats="0" applyFontFormats="1" applyPatternFormats="1" applyAlignmentFormats="0" applyWidthHeightFormats="0"/>
</file>

<file path=xl/queryTables/queryTable9.xml><?xml version="1.0" encoding="utf-8"?>
<queryTable xmlns="http://schemas.openxmlformats.org/spreadsheetml/2006/main" name="magie-interactive-et-jeux-divers-no174_259" preserveFormatting="0" connectionId="181" autoFormatId="16" applyNumberFormats="0" applyBorderFormats="0" applyFontFormats="1" applyPatternFormats="1" applyAlignmentFormats="0" applyWidthHeightFormats="0"/>
</file>

<file path=xl/queryTables/queryTable10.xml><?xml version="1.0" encoding="utf-8"?>
<queryTable xmlns="http://schemas.openxmlformats.org/spreadsheetml/2006/main" name="magie-interactive-et-jeux-divers-no174_13" preserveFormatting="0" connectionId="36" autoFormatId="16" applyNumberFormats="0" applyBorderFormats="0" applyFontFormats="1" applyPatternFormats="1" applyAlignmentFormats="0" applyWidthHeightFormats="0"/>
</file>

<file path=xl/queryTables/queryTable11.xml><?xml version="1.0" encoding="utf-8"?>
<queryTable xmlns="http://schemas.openxmlformats.org/spreadsheetml/2006/main" name="magie-interactive-et-jeux-divers-no174_264" preserveFormatting="0" connectionId="186" autoFormatId="16" applyNumberFormats="0" applyBorderFormats="0" applyFontFormats="1" applyPatternFormats="1" applyAlignmentFormats="0" applyWidthHeightFormats="0"/>
</file>

<file path=xl/queryTables/queryTable12.xml><?xml version="1.0" encoding="utf-8"?>
<queryTable xmlns="http://schemas.openxmlformats.org/spreadsheetml/2006/main" name="magie-interactive-et-jeux-divers-no174_83" preserveFormatting="0" connectionId="294" autoFormatId="16" applyNumberFormats="0" applyBorderFormats="0" applyFontFormats="1" applyPatternFormats="1" applyAlignmentFormats="0" applyWidthHeightFormats="0"/>
</file>

<file path=xl/queryTables/queryTable13.xml><?xml version="1.0" encoding="utf-8"?>
<queryTable xmlns="http://schemas.openxmlformats.org/spreadsheetml/2006/main" name="magie-interactive-et-jeux-divers-no174_98" preserveFormatting="0" connectionId="310" autoFormatId="16" applyNumberFormats="0" applyBorderFormats="0" applyFontFormats="1" applyPatternFormats="1" applyAlignmentFormats="0" applyWidthHeightFormats="0"/>
</file>

<file path=xl/queryTables/queryTable14.xml><?xml version="1.0" encoding="utf-8"?>
<queryTable xmlns="http://schemas.openxmlformats.org/spreadsheetml/2006/main" name="magie-interactive-et-jeux-divers-no174_279" preserveFormatting="0" connectionId="203" autoFormatId="16" applyNumberFormats="0" applyBorderFormats="0" applyFontFormats="1" applyPatternFormats="1" applyAlignmentFormats="0" applyWidthHeightFormats="0"/>
</file>

<file path=xl/queryTables/queryTable15.xml><?xml version="1.0" encoding="utf-8"?>
<queryTable xmlns="http://schemas.openxmlformats.org/spreadsheetml/2006/main" name="magie-interactive-et-jeux-divers-no174_166" preserveFormatting="0" connectionId="77" autoFormatId="16" applyNumberFormats="0" applyBorderFormats="0" applyFontFormats="1" applyPatternFormats="1" applyAlignmentFormats="0" applyWidthHeightFormats="0"/>
</file>

<file path=xl/queryTables/queryTable16.xml><?xml version="1.0" encoding="utf-8"?>
<queryTable xmlns="http://schemas.openxmlformats.org/spreadsheetml/2006/main" name="magie-interactive-et-jeux-divers-no174_188" preserveFormatting="0" connectionId="101" autoFormatId="16" applyNumberFormats="0" applyBorderFormats="0" applyFontFormats="1" applyPatternFormats="1" applyAlignmentFormats="0" applyWidthHeightFormats="0"/>
</file>

<file path=xl/queryTables/queryTable17.xml><?xml version="1.0" encoding="utf-8"?>
<queryTable xmlns="http://schemas.openxmlformats.org/spreadsheetml/2006/main" name="magie-interactive-et-jeux-divers-no174_88" preserveFormatting="0" connectionId="299" autoFormatId="16" applyNumberFormats="0" applyBorderFormats="0" applyFontFormats="1" applyPatternFormats="1" applyAlignmentFormats="0" applyWidthHeightFormats="0"/>
</file>

<file path=xl/queryTables/queryTable18.xml><?xml version="1.0" encoding="utf-8"?>
<queryTable xmlns="http://schemas.openxmlformats.org/spreadsheetml/2006/main" name="magie-interactive-et-jeux-divers-no174_85" preserveFormatting="0" connectionId="296" autoFormatId="16" applyNumberFormats="0" applyBorderFormats="0" applyFontFormats="1" applyPatternFormats="1" applyAlignmentFormats="0" applyWidthHeightFormats="0"/>
</file>

<file path=xl/queryTables/queryTable19.xml><?xml version="1.0" encoding="utf-8"?>
<queryTable xmlns="http://schemas.openxmlformats.org/spreadsheetml/2006/main" name="magie-interactive-et-jeux-divers-no174_106" preserveFormatting="0" connectionId="10" autoFormatId="16" applyNumberFormats="0" applyBorderFormats="0" applyFontFormats="1" applyPatternFormats="1" applyAlignmentFormats="0" applyWidthHeightFormats="0"/>
</file>

<file path=xl/queryTables/queryTable20.xml><?xml version="1.0" encoding="utf-8"?>
<queryTable xmlns="http://schemas.openxmlformats.org/spreadsheetml/2006/main" name="magie-interactive-et-jeux-divers-no174_175" preserveFormatting="0" connectionId="87" autoFormatId="16" applyNumberFormats="0" applyBorderFormats="0" applyFontFormats="1" applyPatternFormats="1" applyAlignmentFormats="0" applyWidthHeightFormats="0"/>
</file>

<file path=xl/queryTables/queryTable21.xml><?xml version="1.0" encoding="utf-8"?>
<queryTable xmlns="http://schemas.openxmlformats.org/spreadsheetml/2006/main" name="magie-interactive-et-jeux-divers-no174_171" preserveFormatting="0" connectionId="83" autoFormatId="16" applyNumberFormats="0" applyBorderFormats="0" applyFontFormats="1" applyPatternFormats="1" applyAlignmentFormats="0" applyWidthHeightFormats="0"/>
</file>

<file path=xl/queryTables/queryTable22.xml><?xml version="1.0" encoding="utf-8"?>
<queryTable xmlns="http://schemas.openxmlformats.org/spreadsheetml/2006/main" name="magie-interactive-et-jeux-divers-no174_214" preserveFormatting="0" connectionId="131" autoFormatId="16" applyNumberFormats="0" applyBorderFormats="0" applyFontFormats="1" applyPatternFormats="1" applyAlignmentFormats="0" applyWidthHeightFormats="0"/>
</file>

<file path=xl/queryTables/queryTable23.xml><?xml version="1.0" encoding="utf-8"?>
<queryTable xmlns="http://schemas.openxmlformats.org/spreadsheetml/2006/main" name="magie-interactive-et-jeux-divers-no174_256" preserveFormatting="0" connectionId="177" autoFormatId="16" applyNumberFormats="0" applyBorderFormats="0" applyFontFormats="1" applyPatternFormats="1" applyAlignmentFormats="0" applyWidthHeightFormats="0"/>
</file>

<file path=xl/queryTables/queryTable24.xml><?xml version="1.0" encoding="utf-8"?>
<queryTable xmlns="http://schemas.openxmlformats.org/spreadsheetml/2006/main" name="magie-interactive-et-jeux-divers-no174_210" preserveFormatting="0" connectionId="127" autoFormatId="16" applyNumberFormats="0" applyBorderFormats="0" applyFontFormats="1" applyPatternFormats="1" applyAlignmentFormats="0" applyWidthHeightFormats="0"/>
</file>

<file path=xl/queryTables/queryTable25.xml><?xml version="1.0" encoding="utf-8"?>
<queryTable xmlns="http://schemas.openxmlformats.org/spreadsheetml/2006/main" name="magie-interactive-et-jeux-divers-no174_56" preserveFormatting="0" connectionId="264" autoFormatId="16" applyNumberFormats="0" applyBorderFormats="0" applyFontFormats="1" applyPatternFormats="1" applyAlignmentFormats="0" applyWidthHeightFormats="0"/>
</file>

<file path=xl/queryTables/queryTable26.xml><?xml version="1.0" encoding="utf-8"?>
<queryTable xmlns="http://schemas.openxmlformats.org/spreadsheetml/2006/main" name="magie-interactive-et-jeux-divers-no174_45" preserveFormatting="0" connectionId="252" autoFormatId="16" applyNumberFormats="0" applyBorderFormats="0" applyFontFormats="1" applyPatternFormats="1" applyAlignmentFormats="0" applyWidthHeightFormats="0"/>
</file>

<file path=xl/queryTables/queryTable27.xml><?xml version="1.0" encoding="utf-8"?>
<queryTable xmlns="http://schemas.openxmlformats.org/spreadsheetml/2006/main" name="magie-interactive-et-jeux-divers-no174_97" preserveFormatting="0" connectionId="309" autoFormatId="16" applyNumberFormats="0" applyBorderFormats="0" applyFontFormats="1" applyPatternFormats="1" applyAlignmentFormats="0" applyWidthHeightFormats="0"/>
</file>

<file path=xl/queryTables/queryTable28.xml><?xml version="1.0" encoding="utf-8"?>
<queryTable xmlns="http://schemas.openxmlformats.org/spreadsheetml/2006/main" name="magie-interactive-et-jeux-divers-no174_218" preserveFormatting="0" connectionId="135" autoFormatId="16" applyNumberFormats="0" applyBorderFormats="0" applyFontFormats="1" applyPatternFormats="1" applyAlignmentFormats="0" applyWidthHeightFormats="0"/>
</file>

<file path=xl/queryTables/queryTable29.xml><?xml version="1.0" encoding="utf-8"?>
<queryTable xmlns="http://schemas.openxmlformats.org/spreadsheetml/2006/main" name="magie-interactive-et-jeux-divers-no174_283" preserveFormatting="0" connectionId="208" autoFormatId="16" applyNumberFormats="0" applyBorderFormats="0" applyFontFormats="1" applyPatternFormats="1" applyAlignmentFormats="0" applyWidthHeightFormats="0"/>
</file>

<file path=xl/queryTables/queryTable30.xml><?xml version="1.0" encoding="utf-8"?>
<queryTable xmlns="http://schemas.openxmlformats.org/spreadsheetml/2006/main" name="magie-interactive-et-jeux-divers-no174_158" preserveFormatting="0" connectionId="68" autoFormatId="16" applyNumberFormats="0" applyBorderFormats="0" applyFontFormats="1" applyPatternFormats="1" applyAlignmentFormats="0" applyWidthHeightFormats="0"/>
</file>

<file path=xl/queryTables/queryTable31.xml><?xml version="1.0" encoding="utf-8"?>
<queryTable xmlns="http://schemas.openxmlformats.org/spreadsheetml/2006/main" name="magie-interactive-et-jeux-divers-no174_237" preserveFormatting="0" connectionId="156" autoFormatId="16" applyNumberFormats="0" applyBorderFormats="0" applyFontFormats="1" applyPatternFormats="1" applyAlignmentFormats="0" applyWidthHeightFormats="0"/>
</file>

<file path=xl/queryTables/queryTable32.xml><?xml version="1.0" encoding="utf-8"?>
<queryTable xmlns="http://schemas.openxmlformats.org/spreadsheetml/2006/main" name="magie-interactive-et-jeux-divers-no174_73" preserveFormatting="0" connectionId="283" autoFormatId="16" applyNumberFormats="0" applyBorderFormats="0" applyFontFormats="1" applyPatternFormats="1" applyAlignmentFormats="0" applyWidthHeightFormats="0"/>
</file>

<file path=xl/queryTables/queryTable33.xml><?xml version="1.0" encoding="utf-8"?>
<queryTable xmlns="http://schemas.openxmlformats.org/spreadsheetml/2006/main" name="magie-interactive-et-jeux-divers-no174_159" preserveFormatting="0" connectionId="70" autoFormatId="16" applyNumberFormats="0" applyBorderFormats="0" applyFontFormats="1" applyPatternFormats="1" applyAlignmentFormats="0" applyWidthHeightFormats="0"/>
</file>

<file path=xl/queryTables/queryTable34.xml><?xml version="1.0" encoding="utf-8"?>
<queryTable xmlns="http://schemas.openxmlformats.org/spreadsheetml/2006/main" name="magie-interactive-et-jeux-divers-no174_11" preserveFormatting="0" connectionId="14" autoFormatId="16" applyNumberFormats="0" applyBorderFormats="0" applyFontFormats="1" applyPatternFormats="1" applyAlignmentFormats="0" applyWidthHeightFormats="0"/>
</file>

<file path=xl/queryTables/queryTable35.xml><?xml version="1.0" encoding="utf-8"?>
<queryTable xmlns="http://schemas.openxmlformats.org/spreadsheetml/2006/main" name="magie-interactive-et-jeux-divers-no174_248" preserveFormatting="0" connectionId="168" autoFormatId="16" applyNumberFormats="0" applyBorderFormats="0" applyFontFormats="1" applyPatternFormats="1" applyAlignmentFormats="0" applyWidthHeightFormats="0"/>
</file>

<file path=xl/queryTables/queryTable36.xml><?xml version="1.0" encoding="utf-8"?>
<queryTable xmlns="http://schemas.openxmlformats.org/spreadsheetml/2006/main" name="magie-interactive-et-jeux-divers-no174_221" preserveFormatting="0" connectionId="139" autoFormatId="16" applyNumberFormats="0" applyBorderFormats="0" applyFontFormats="1" applyPatternFormats="1" applyAlignmentFormats="0" applyWidthHeightFormats="0"/>
</file>

<file path=xl/queryTables/queryTable37.xml><?xml version="1.0" encoding="utf-8"?>
<queryTable xmlns="http://schemas.openxmlformats.org/spreadsheetml/2006/main" name="magie-interactive-et-jeux-divers-no174_60" preserveFormatting="0" connectionId="269" autoFormatId="16" applyNumberFormats="0" applyBorderFormats="0" applyFontFormats="1" applyPatternFormats="1" applyAlignmentFormats="0" applyWidthHeightFormats="0"/>
</file>

<file path=xl/queryTables/queryTable38.xml><?xml version="1.0" encoding="utf-8"?>
<queryTable xmlns="http://schemas.openxmlformats.org/spreadsheetml/2006/main" name="magie-interactive-et-jeux-divers-no174_95" preserveFormatting="0" connectionId="307" autoFormatId="16" applyNumberFormats="0" applyBorderFormats="0" applyFontFormats="1" applyPatternFormats="1" applyAlignmentFormats="0" applyWidthHeightFormats="0"/>
</file>

<file path=xl/queryTables/queryTable39.xml><?xml version="1.0" encoding="utf-8"?>
<queryTable xmlns="http://schemas.openxmlformats.org/spreadsheetml/2006/main" name="magie-interactive-et-jeux-divers-no174_302" preserveFormatting="0" connectionId="230" autoFormatId="16" applyNumberFormats="0" applyBorderFormats="0" applyFontFormats="1" applyPatternFormats="1" applyAlignmentFormats="0" applyWidthHeightFormats="0"/>
</file>

<file path=xl/queryTables/queryTable40.xml><?xml version="1.0" encoding="utf-8"?>
<queryTable xmlns="http://schemas.openxmlformats.org/spreadsheetml/2006/main" name="magie-interactive-et-jeux-divers-no174_140" preserveFormatting="0" connectionId="49" autoFormatId="16" applyNumberFormats="0" applyBorderFormats="0" applyFontFormats="1" applyPatternFormats="1" applyAlignmentFormats="0" applyWidthHeightFormats="0"/>
</file>

<file path=xl/queryTables/queryTable41.xml><?xml version="1.0" encoding="utf-8"?>
<queryTable xmlns="http://schemas.openxmlformats.org/spreadsheetml/2006/main" name="magie-interactive-et-jeux-divers-no174_255" preserveFormatting="0" connectionId="176" autoFormatId="16" applyNumberFormats="0" applyBorderFormats="0" applyFontFormats="1" applyPatternFormats="1" applyAlignmentFormats="0" applyWidthHeightFormats="0"/>
</file>

<file path=xl/queryTables/queryTable42.xml><?xml version="1.0" encoding="utf-8"?>
<queryTable xmlns="http://schemas.openxmlformats.org/spreadsheetml/2006/main" name="magie-interactive-et-jeux-divers-no174_263" preserveFormatting="0" connectionId="185" autoFormatId="16" applyNumberFormats="0" applyBorderFormats="0" applyFontFormats="1" applyPatternFormats="1" applyAlignmentFormats="0" applyWidthHeightFormats="0"/>
</file>

<file path=xl/queryTables/queryTable43.xml><?xml version="1.0" encoding="utf-8"?>
<queryTable xmlns="http://schemas.openxmlformats.org/spreadsheetml/2006/main" name="magie-interactive-et-jeux-divers-no174_52" preserveFormatting="0" connectionId="260" autoFormatId="16" applyNumberFormats="0" applyBorderFormats="0" applyFontFormats="1" applyPatternFormats="1" applyAlignmentFormats="0" applyWidthHeightFormats="0"/>
</file>

<file path=xl/queryTables/queryTable44.xml><?xml version="1.0" encoding="utf-8"?>
<queryTable xmlns="http://schemas.openxmlformats.org/spreadsheetml/2006/main" name="magie-interactive-et-jeux-divers-no174_252" preserveFormatting="0" connectionId="173" autoFormatId="16" applyNumberFormats="0" applyBorderFormats="0" applyFontFormats="1" applyPatternFormats="1" applyAlignmentFormats="0" applyWidthHeightFormats="0"/>
</file>

<file path=xl/queryTables/queryTable45.xml><?xml version="1.0" encoding="utf-8"?>
<queryTable xmlns="http://schemas.openxmlformats.org/spreadsheetml/2006/main" name="magie-interactive-et-jeux-divers-no174_72" preserveFormatting="0" connectionId="282" autoFormatId="16" applyNumberFormats="0" applyBorderFormats="0" applyFontFormats="1" applyPatternFormats="1" applyAlignmentFormats="0" applyWidthHeightFormats="0"/>
</file>

<file path=xl/queryTables/queryTable46.xml><?xml version="1.0" encoding="utf-8"?>
<queryTable xmlns="http://schemas.openxmlformats.org/spreadsheetml/2006/main" name="magie-interactive-et-jeux-divers-no174_147" preserveFormatting="0" connectionId="56" autoFormatId="16" applyNumberFormats="0" applyBorderFormats="0" applyFontFormats="1" applyPatternFormats="1" applyAlignmentFormats="0" applyWidthHeightFormats="0"/>
</file>

<file path=xl/queryTables/queryTable47.xml><?xml version="1.0" encoding="utf-8"?>
<queryTable xmlns="http://schemas.openxmlformats.org/spreadsheetml/2006/main" name="magie-interactive-et-jeux-divers-no174_59" preserveFormatting="0" connectionId="267" autoFormatId="16" applyNumberFormats="0" applyBorderFormats="0" applyFontFormats="1" applyPatternFormats="1" applyAlignmentFormats="0" applyWidthHeightFormats="0"/>
</file>

<file path=xl/queryTables/queryTable48.xml><?xml version="1.0" encoding="utf-8"?>
<queryTable xmlns="http://schemas.openxmlformats.org/spreadsheetml/2006/main" name="magie-interactive-et-jeux-divers-no174_284" preserveFormatting="0" connectionId="209" autoFormatId="16" applyNumberFormats="0" applyBorderFormats="0" applyFontFormats="1" applyPatternFormats="1" applyAlignmentFormats="0" applyWidthHeightFormats="0"/>
</file>

<file path=xl/queryTables/queryTable49.xml><?xml version="1.0" encoding="utf-8"?>
<queryTable xmlns="http://schemas.openxmlformats.org/spreadsheetml/2006/main" name="magie-interactive-et-jeux-divers-no174_141" preserveFormatting="0" connectionId="50" autoFormatId="16" applyNumberFormats="0" applyBorderFormats="0" applyFontFormats="1" applyPatternFormats="1" applyAlignmentFormats="0" applyWidthHeightFormats="0"/>
</file>

<file path=xl/queryTables/queryTable50.xml><?xml version="1.0" encoding="utf-8"?>
<queryTable xmlns="http://schemas.openxmlformats.org/spreadsheetml/2006/main" name="magie-interactive-et-jeux-divers-no174_225" preserveFormatting="0" connectionId="143" autoFormatId="16" applyNumberFormats="0" applyBorderFormats="0" applyFontFormats="1" applyPatternFormats="1" applyAlignmentFormats="0" applyWidthHeightFormats="0"/>
</file>

<file path=xl/queryTables/queryTable51.xml><?xml version="1.0" encoding="utf-8"?>
<queryTable xmlns="http://schemas.openxmlformats.org/spreadsheetml/2006/main" name="magie-interactive-et-jeux-divers-no174_15" preserveFormatting="0" connectionId="58" autoFormatId="16" applyNumberFormats="0" applyBorderFormats="0" applyFontFormats="1" applyPatternFormats="1" applyAlignmentFormats="0" applyWidthHeightFormats="0"/>
</file>

<file path=xl/queryTables/queryTable52.xml><?xml version="1.0" encoding="utf-8"?>
<queryTable xmlns="http://schemas.openxmlformats.org/spreadsheetml/2006/main" name="magie-interactive-et-jeux-divers-no174_230" preserveFormatting="0" connectionId="149" autoFormatId="16" applyNumberFormats="0" applyBorderFormats="0" applyFontFormats="1" applyPatternFormats="1" applyAlignmentFormats="0" applyWidthHeightFormats="0"/>
</file>

<file path=xl/queryTables/queryTable53.xml><?xml version="1.0" encoding="utf-8"?>
<queryTable xmlns="http://schemas.openxmlformats.org/spreadsheetml/2006/main" name="magie-interactive-et-jeux-divers-no174_153" preserveFormatting="0" connectionId="63" autoFormatId="16" applyNumberFormats="0" applyBorderFormats="0" applyFontFormats="1" applyPatternFormats="1" applyAlignmentFormats="0" applyWidthHeightFormats="0"/>
</file>

<file path=xl/queryTables/queryTable54.xml><?xml version="1.0" encoding="utf-8"?>
<queryTable xmlns="http://schemas.openxmlformats.org/spreadsheetml/2006/main" name="magie-interactive-et-jeux-divers-no174_180" preserveFormatting="0" connectionId="93" autoFormatId="16" applyNumberFormats="0" applyBorderFormats="0" applyFontFormats="1" applyPatternFormats="1" applyAlignmentFormats="0" applyWidthHeightFormats="0"/>
</file>

<file path=xl/queryTables/queryTable55.xml><?xml version="1.0" encoding="utf-8"?>
<queryTable xmlns="http://schemas.openxmlformats.org/spreadsheetml/2006/main" name="magie-interactive-et-jeux-divers-no174_128" preserveFormatting="0" connectionId="35" autoFormatId="16" applyNumberFormats="0" applyBorderFormats="0" applyFontFormats="1" applyPatternFormats="1" applyAlignmentFormats="0" applyWidthHeightFormats="0"/>
</file>

<file path=xl/queryTables/queryTable56.xml><?xml version="1.0" encoding="utf-8"?>
<queryTable xmlns="http://schemas.openxmlformats.org/spreadsheetml/2006/main" name="magie-interactive-et-jeux-divers-no174_247" preserveFormatting="0" connectionId="167" autoFormatId="16" applyNumberFormats="0" applyBorderFormats="0" applyFontFormats="1" applyPatternFormats="1" applyAlignmentFormats="0" applyWidthHeightFormats="0"/>
</file>

<file path=xl/queryTables/queryTable57.xml><?xml version="1.0" encoding="utf-8"?>
<queryTable xmlns="http://schemas.openxmlformats.org/spreadsheetml/2006/main" name="magie-interactive-et-jeux-divers-no174_271" preserveFormatting="0" connectionId="194" autoFormatId="16" applyNumberFormats="0" applyBorderFormats="0" applyFontFormats="1" applyPatternFormats="1" applyAlignmentFormats="0" applyWidthHeightFormats="0"/>
</file>

<file path=xl/queryTables/queryTable58.xml><?xml version="1.0" encoding="utf-8"?>
<queryTable xmlns="http://schemas.openxmlformats.org/spreadsheetml/2006/main" name="magie-interactive-et-jeux-divers-no174_207" preserveFormatting="0" connectionId="123" autoFormatId="16" applyNumberFormats="0" applyBorderFormats="0" applyFontFormats="1" applyPatternFormats="1" applyAlignmentFormats="0" applyWidthHeightFormats="0"/>
</file>

<file path=xl/queryTables/queryTable59.xml><?xml version="1.0" encoding="utf-8"?>
<queryTable xmlns="http://schemas.openxmlformats.org/spreadsheetml/2006/main" name="magie-interactive-et-jeux-divers-no174_251" preserveFormatting="0" connectionId="172" autoFormatId="16" applyNumberFormats="0" applyBorderFormats="0" applyFontFormats="1" applyPatternFormats="1" applyAlignmentFormats="0" applyWidthHeightFormats="0"/>
</file>

<file path=xl/queryTables/queryTable60.xml><?xml version="1.0" encoding="utf-8"?>
<queryTable xmlns="http://schemas.openxmlformats.org/spreadsheetml/2006/main" name="magie-interactive-et-jeux-divers-no174_84" preserveFormatting="0" connectionId="295" autoFormatId="16" applyNumberFormats="0" applyBorderFormats="0" applyFontFormats="1" applyPatternFormats="1" applyAlignmentFormats="0" applyWidthHeightFormats="0"/>
</file>

<file path=xl/queryTables/queryTable61.xml><?xml version="1.0" encoding="utf-8"?>
<queryTable xmlns="http://schemas.openxmlformats.org/spreadsheetml/2006/main" name="magie-interactive-et-jeux-divers-no174_229" preserveFormatting="0" connectionId="148" autoFormatId="16" applyNumberFormats="0" applyBorderFormats="0" applyFontFormats="1" applyPatternFormats="1" applyAlignmentFormats="0" applyWidthHeightFormats="0"/>
</file>

<file path=xl/queryTables/queryTable62.xml><?xml version="1.0" encoding="utf-8"?>
<queryTable xmlns="http://schemas.openxmlformats.org/spreadsheetml/2006/main" name="magie-interactive-et-jeux-divers-no174_260" preserveFormatting="0" connectionId="182" autoFormatId="16" applyNumberFormats="0" applyBorderFormats="0" applyFontFormats="1" applyPatternFormats="1" applyAlignmentFormats="0" applyWidthHeightFormats="0"/>
</file>

<file path=xl/queryTables/queryTable63.xml><?xml version="1.0" encoding="utf-8"?>
<queryTable xmlns="http://schemas.openxmlformats.org/spreadsheetml/2006/main" name="magie-interactive-et-jeux-divers-no174_236" preserveFormatting="0" connectionId="155" autoFormatId="16" applyNumberFormats="0" applyBorderFormats="0" applyFontFormats="1" applyPatternFormats="1" applyAlignmentFormats="0" applyWidthHeightFormats="0"/>
</file>

<file path=xl/queryTables/queryTable64.xml><?xml version="1.0" encoding="utf-8"?>
<queryTable xmlns="http://schemas.openxmlformats.org/spreadsheetml/2006/main" name="magie-interactive-et-jeux-divers-no174_208" preserveFormatting="0" connectionId="124" autoFormatId="16" applyNumberFormats="0" applyBorderFormats="0" applyFontFormats="1" applyPatternFormats="1" applyAlignmentFormats="0" applyWidthHeightFormats="0"/>
</file>

<file path=xl/queryTables/queryTable65.xml><?xml version="1.0" encoding="utf-8"?>
<queryTable xmlns="http://schemas.openxmlformats.org/spreadsheetml/2006/main" name="magie-interactive-et-jeux-divers-no174_213" preserveFormatting="0" connectionId="130" autoFormatId="16" applyNumberFormats="0" applyBorderFormats="0" applyFontFormats="1" applyPatternFormats="1" applyAlignmentFormats="0" applyWidthHeightFormats="0"/>
</file>

<file path=xl/queryTables/queryTable66.xml><?xml version="1.0" encoding="utf-8"?>
<queryTable xmlns="http://schemas.openxmlformats.org/spreadsheetml/2006/main" name="magie-interactive-et-jeux-divers-no174_162" preserveFormatting="0" connectionId="73" autoFormatId="16" applyNumberFormats="0" applyBorderFormats="0" applyFontFormats="1" applyPatternFormats="1" applyAlignmentFormats="0" applyWidthHeightFormats="0"/>
</file>

<file path=xl/queryTables/queryTable67.xml><?xml version="1.0" encoding="utf-8"?>
<queryTable xmlns="http://schemas.openxmlformats.org/spreadsheetml/2006/main" name="magie-interactive-et-jeux-divers-no174_240" preserveFormatting="0" connectionId="160" autoFormatId="16" applyNumberFormats="0" applyBorderFormats="0" applyFontFormats="1" applyPatternFormats="1" applyAlignmentFormats="0" applyWidthHeightFormats="0"/>
</file>

<file path=xl/queryTables/queryTable68.xml><?xml version="1.0" encoding="utf-8"?>
<queryTable xmlns="http://schemas.openxmlformats.org/spreadsheetml/2006/main" name="magie-interactive-et-jeux-divers-no174_20" preserveFormatting="0" connectionId="114" autoFormatId="16" applyNumberFormats="0" applyBorderFormats="0" applyFontFormats="1" applyPatternFormats="1" applyAlignmentFormats="0" applyWidthHeightFormats="0"/>
</file>

<file path=xl/queryTables/queryTable69.xml><?xml version="1.0" encoding="utf-8"?>
<queryTable xmlns="http://schemas.openxmlformats.org/spreadsheetml/2006/main" name="magie-interactive-et-jeux-divers-no174_115" preserveFormatting="0" connectionId="21" autoFormatId="16" applyNumberFormats="0" applyBorderFormats="0" applyFontFormats="1" applyPatternFormats="1" applyAlignmentFormats="0" applyWidthHeightFormats="0"/>
</file>

<file path=xl/queryTables/queryTable70.xml><?xml version="1.0" encoding="utf-8"?>
<queryTable xmlns="http://schemas.openxmlformats.org/spreadsheetml/2006/main" name="magie-interactive-et-jeux-divers-no174_120" preserveFormatting="0" connectionId="27" autoFormatId="16" applyNumberFormats="0" applyBorderFormats="0" applyFontFormats="1" applyPatternFormats="1" applyAlignmentFormats="0" applyWidthHeightFormats="0"/>
</file>

<file path=xl/queryTables/queryTable71.xml><?xml version="1.0" encoding="utf-8"?>
<queryTable xmlns="http://schemas.openxmlformats.org/spreadsheetml/2006/main" name="magie-interactive-et-jeux-divers-no174_174" preserveFormatting="0" connectionId="86" autoFormatId="16" applyNumberFormats="0" applyBorderFormats="0" applyFontFormats="1" applyPatternFormats="1" applyAlignmentFormats="0" applyWidthHeightFormats="0"/>
</file>

<file path=xl/queryTables/queryTable72.xml><?xml version="1.0" encoding="utf-8"?>
<queryTable xmlns="http://schemas.openxmlformats.org/spreadsheetml/2006/main" name="magie-interactive-et-jeux-divers-no174_170" preserveFormatting="0" connectionId="82" autoFormatId="16" applyNumberFormats="0" applyBorderFormats="0" applyFontFormats="1" applyPatternFormats="1" applyAlignmentFormats="0" applyWidthHeightFormats="0"/>
</file>

<file path=xl/queryTables/queryTable73.xml><?xml version="1.0" encoding="utf-8"?>
<queryTable xmlns="http://schemas.openxmlformats.org/spreadsheetml/2006/main" name="magie-interactive-et-jeux-divers-no174_212" preserveFormatting="0" connectionId="129" autoFormatId="16" applyNumberFormats="0" applyBorderFormats="0" applyFontFormats="1" applyPatternFormats="1" applyAlignmentFormats="0" applyWidthHeightFormats="0"/>
</file>

<file path=xl/queryTables/queryTable74.xml><?xml version="1.0" encoding="utf-8"?>
<queryTable xmlns="http://schemas.openxmlformats.org/spreadsheetml/2006/main" name="magie-interactive-et-jeux-divers-no174_287" preserveFormatting="0" connectionId="212" autoFormatId="16" applyNumberFormats="0" applyBorderFormats="0" applyFontFormats="1" applyPatternFormats="1" applyAlignmentFormats="0" applyWidthHeightFormats="0"/>
</file>

<file path=xl/queryTables/queryTable75.xml><?xml version="1.0" encoding="utf-8"?>
<queryTable xmlns="http://schemas.openxmlformats.org/spreadsheetml/2006/main" name="magie-interactive-et-jeux-divers-no174_111" preserveFormatting="0" connectionId="16" autoFormatId="16" applyNumberFormats="0" applyBorderFormats="0" applyFontFormats="1" applyPatternFormats="1" applyAlignmentFormats="0" applyWidthHeightFormats="0"/>
</file>

<file path=xl/queryTables/queryTable76.xml><?xml version="1.0" encoding="utf-8"?>
<queryTable xmlns="http://schemas.openxmlformats.org/spreadsheetml/2006/main" name="magie-interactive-et-jeux-divers-no174_289" preserveFormatting="0" connectionId="215" autoFormatId="16" applyNumberFormats="0" applyBorderFormats="0" applyFontFormats="1" applyPatternFormats="1" applyAlignmentFormats="0" applyWidthHeightFormats="0"/>
</file>

<file path=xl/queryTables/queryTable77.xml><?xml version="1.0" encoding="utf-8"?>
<queryTable xmlns="http://schemas.openxmlformats.org/spreadsheetml/2006/main" name="magie-interactive-et-jeux-divers-no174_131" preserveFormatting="0" connectionId="39" autoFormatId="16" applyNumberFormats="0" applyBorderFormats="0" applyFontFormats="1" applyPatternFormats="1" applyAlignmentFormats="0" applyWidthHeightFormats="0"/>
</file>

<file path=xl/queryTables/queryTable78.xml><?xml version="1.0" encoding="utf-8"?>
<queryTable xmlns="http://schemas.openxmlformats.org/spreadsheetml/2006/main" name="magie-interactive-et-jeux-divers-no174_150" preserveFormatting="0" connectionId="60" autoFormatId="16" applyNumberFormats="0" applyBorderFormats="0" applyFontFormats="1" applyPatternFormats="1" applyAlignmentFormats="0" applyWidthHeightFormats="0"/>
</file>

<file path=xl/queryTables/queryTable79.xml><?xml version="1.0" encoding="utf-8"?>
<queryTable xmlns="http://schemas.openxmlformats.org/spreadsheetml/2006/main" name="magie-interactive-et-jeux-divers-no174_132" preserveFormatting="0" connectionId="40" autoFormatId="16" applyNumberFormats="0" applyBorderFormats="0" applyFontFormats="1" applyPatternFormats="1" applyAlignmentFormats="0" applyWidthHeightFormats="0"/>
</file>

<file path=xl/queryTables/queryTable80.xml><?xml version="1.0" encoding="utf-8"?>
<queryTable xmlns="http://schemas.openxmlformats.org/spreadsheetml/2006/main" name="magie-interactive-et-jeux-divers-no174_273" preserveFormatting="0" connectionId="196" autoFormatId="16" applyNumberFormats="0" applyBorderFormats="0" applyFontFormats="1" applyPatternFormats="1" applyAlignmentFormats="0" applyWidthHeightFormats="0"/>
</file>

<file path=xl/queryTables/queryTable81.xml><?xml version="1.0" encoding="utf-8"?>
<queryTable xmlns="http://schemas.openxmlformats.org/spreadsheetml/2006/main" name="magie-interactive-et-jeux-divers-no174_155" preserveFormatting="0" connectionId="65" autoFormatId="16" applyNumberFormats="0" applyBorderFormats="0" applyFontFormats="1" applyPatternFormats="1" applyAlignmentFormats="0" applyWidthHeightFormats="0"/>
</file>

<file path=xl/queryTables/queryTable82.xml><?xml version="1.0" encoding="utf-8"?>
<queryTable xmlns="http://schemas.openxmlformats.org/spreadsheetml/2006/main" name="magie-interactive-et-jeux-divers-no174_294" preserveFormatting="0" connectionId="220" autoFormatId="16" applyNumberFormats="0" applyBorderFormats="0" applyFontFormats="1" applyPatternFormats="1" applyAlignmentFormats="0" applyWidthHeightFormats="0"/>
</file>

<file path=xl/queryTables/queryTable83.xml><?xml version="1.0" encoding="utf-8"?>
<queryTable xmlns="http://schemas.openxmlformats.org/spreadsheetml/2006/main" name="magie-interactive-et-jeux-divers-no174_62" preserveFormatting="0" connectionId="271" autoFormatId="16" applyNumberFormats="0" applyBorderFormats="0" applyFontFormats="1" applyPatternFormats="1" applyAlignmentFormats="0" applyWidthHeightFormats="0"/>
</file>

<file path=xl/queryTables/queryTable84.xml><?xml version="1.0" encoding="utf-8"?>
<queryTable xmlns="http://schemas.openxmlformats.org/spreadsheetml/2006/main" name="magie-interactive-et-jeux-divers-no174_307" preserveFormatting="0" connectionId="235" autoFormatId="16" applyNumberFormats="0" applyBorderFormats="0" applyFontFormats="1" applyPatternFormats="1" applyAlignmentFormats="0" applyWidthHeightFormats="0"/>
</file>

<file path=xl/queryTables/queryTable85.xml><?xml version="1.0" encoding="utf-8"?>
<queryTable xmlns="http://schemas.openxmlformats.org/spreadsheetml/2006/main" name="magie-interactive-et-jeux-divers-no174_48" preserveFormatting="0" connectionId="255" autoFormatId="16" applyNumberFormats="0" applyBorderFormats="0" applyFontFormats="1" applyPatternFormats="1" applyAlignmentFormats="0" applyWidthHeightFormats="0"/>
</file>

<file path=xl/queryTables/queryTable86.xml><?xml version="1.0" encoding="utf-8"?>
<queryTable xmlns="http://schemas.openxmlformats.org/spreadsheetml/2006/main" name="magie-interactive-et-jeux-divers-no174_161" preserveFormatting="0" connectionId="72" autoFormatId="16" applyNumberFormats="0" applyBorderFormats="0" applyFontFormats="1" applyPatternFormats="1" applyAlignmentFormats="0" applyWidthHeightFormats="0"/>
</file>

<file path=xl/queryTables/queryTable87.xml><?xml version="1.0" encoding="utf-8"?>
<queryTable xmlns="http://schemas.openxmlformats.org/spreadsheetml/2006/main" name="magie-interactive-et-jeux-divers-no174_269" preserveFormatting="0" connectionId="192" autoFormatId="16" applyNumberFormats="0" applyBorderFormats="0" applyFontFormats="1" applyPatternFormats="1" applyAlignmentFormats="0" applyWidthHeightFormats="0"/>
</file>

<file path=xl/queryTables/queryTable88.xml><?xml version="1.0" encoding="utf-8"?>
<queryTable xmlns="http://schemas.openxmlformats.org/spreadsheetml/2006/main" name="magie-interactive-et-jeux-divers-no174_226" preserveFormatting="0" connectionId="144" autoFormatId="16" applyNumberFormats="0" applyBorderFormats="0" applyFontFormats="1" applyPatternFormats="1" applyAlignmentFormats="0" applyWidthHeightFormats="0"/>
</file>

<file path=xl/queryTables/queryTable89.xml><?xml version="1.0" encoding="utf-8"?>
<queryTable xmlns="http://schemas.openxmlformats.org/spreadsheetml/2006/main" name="magie-interactive-et-jeux-divers-no174_242" preserveFormatting="0" connectionId="162" autoFormatId="16" applyNumberFormats="0" applyBorderFormats="0" applyFontFormats="1" applyPatternFormats="1" applyAlignmentFormats="0" applyWidthHeightFormats="0"/>
</file>

<file path=xl/queryTables/queryTable90.xml><?xml version="1.0" encoding="utf-8"?>
<queryTable xmlns="http://schemas.openxmlformats.org/spreadsheetml/2006/main" name="magie-interactive-et-jeux-divers-no174_195" preserveFormatting="0" connectionId="109" autoFormatId="16" applyNumberFormats="0" applyBorderFormats="0" applyFontFormats="1" applyPatternFormats="1" applyAlignmentFormats="0" applyWidthHeightFormats="0"/>
</file>

<file path=xl/queryTables/queryTable91.xml><?xml version="1.0" encoding="utf-8"?>
<queryTable xmlns="http://schemas.openxmlformats.org/spreadsheetml/2006/main" name="magie-interactive-et-jeux-divers-no174_112" preserveFormatting="0" connectionId="18" autoFormatId="16" applyNumberFormats="0" applyBorderFormats="0" applyFontFormats="1" applyPatternFormats="1" applyAlignmentFormats="0" applyWidthHeightFormats="0"/>
</file>

<file path=xl/queryTables/queryTable92.xml><?xml version="1.0" encoding="utf-8"?>
<queryTable xmlns="http://schemas.openxmlformats.org/spreadsheetml/2006/main" name="magie-interactive-et-jeux-divers-no174" preserveFormatting="0" connectionId="1" autoFormatId="16" applyNumberFormats="0" applyBorderFormats="0" applyFontFormats="1" applyPatternFormats="1" applyAlignmentFormats="0" applyWidthHeightFormats="0"/>
</file>

<file path=xl/queryTables/queryTable93.xml><?xml version="1.0" encoding="utf-8"?>
<queryTable xmlns="http://schemas.openxmlformats.org/spreadsheetml/2006/main" name="magie-interactive-et-jeux-divers-no174_18" preserveFormatting="0" connectionId="91" autoFormatId="16" applyNumberFormats="0" applyBorderFormats="0" applyFontFormats="1" applyPatternFormats="1" applyAlignmentFormats="0" applyWidthHeightFormats="0"/>
</file>

<file path=xl/queryTables/queryTable94.xml><?xml version="1.0" encoding="utf-8"?>
<queryTable xmlns="http://schemas.openxmlformats.org/spreadsheetml/2006/main" name="magie-interactive-et-jeux-divers-no174_167" preserveFormatting="0" connectionId="78" autoFormatId="16" applyNumberFormats="0" applyBorderFormats="0" applyFontFormats="1" applyPatternFormats="1" applyAlignmentFormats="0" applyWidthHeightFormats="0"/>
</file>

<file path=xl/queryTables/queryTable95.xml><?xml version="1.0" encoding="utf-8"?>
<queryTable xmlns="http://schemas.openxmlformats.org/spreadsheetml/2006/main" name="magie-interactive-et-jeux-divers-no174_209" preserveFormatting="0" connectionId="126" autoFormatId="16" applyNumberFormats="0" applyBorderFormats="0" applyFontFormats="1" applyPatternFormats="1" applyAlignmentFormats="0" applyWidthHeightFormats="0"/>
</file>

<file path=xl/queryTables/queryTable96.xml><?xml version="1.0" encoding="utf-8"?>
<queryTable xmlns="http://schemas.openxmlformats.org/spreadsheetml/2006/main" name="magie-interactive-et-jeux-divers-no174_27" preserveFormatting="0" connectionId="191" autoFormatId="16" applyNumberFormats="0" applyBorderFormats="0" applyFontFormats="1" applyPatternFormats="1" applyAlignmentFormats="0" applyWidthHeightFormats="0"/>
</file>

<file path=xl/queryTables/queryTable97.xml><?xml version="1.0" encoding="utf-8"?>
<queryTable xmlns="http://schemas.openxmlformats.org/spreadsheetml/2006/main" name="magie-interactive-et-jeux-divers-no174_192" preserveFormatting="0" connectionId="106" autoFormatId="16" applyNumberFormats="0" applyBorderFormats="0" applyFontFormats="1" applyPatternFormats="1" applyAlignmentFormats="0" applyWidthHeightFormats="0"/>
</file>

<file path=xl/queryTables/queryTable98.xml><?xml version="1.0" encoding="utf-8"?>
<queryTable xmlns="http://schemas.openxmlformats.org/spreadsheetml/2006/main" name="magie-interactive-et-jeux-divers-no174_176" preserveFormatting="0" connectionId="88" autoFormatId="16" applyNumberFormats="0" applyBorderFormats="0" applyFontFormats="1" applyPatternFormats="1" applyAlignmentFormats="0" applyWidthHeightFormats="0"/>
</file>

<file path=xl/queryTables/queryTable99.xml><?xml version="1.0" encoding="utf-8"?>
<queryTable xmlns="http://schemas.openxmlformats.org/spreadsheetml/2006/main" name="magie-interactive-et-jeux-divers-no174_266" preserveFormatting="0" connectionId="188" autoFormatId="16" applyNumberFormats="0" applyBorderFormats="0" applyFontFormats="1" applyPatternFormats="1" applyAlignmentFormats="0" applyWidthHeightFormats="0"/>
</file>

<file path=xl/queryTables/queryTable100.xml><?xml version="1.0" encoding="utf-8"?>
<queryTable xmlns="http://schemas.openxmlformats.org/spreadsheetml/2006/main" name="magie-interactive-et-jeux-divers-no174_198" preserveFormatting="0" connectionId="112" autoFormatId="16" applyNumberFormats="0" applyBorderFormats="0" applyFontFormats="1" applyPatternFormats="1" applyAlignmentFormats="0" applyWidthHeightFormats="0"/>
</file>

<file path=xl/queryTables/queryTable101.xml><?xml version="1.0" encoding="utf-8"?>
<queryTable xmlns="http://schemas.openxmlformats.org/spreadsheetml/2006/main" name="magie-interactive-et-jeux-divers-no174_25" preserveFormatting="0" connectionId="169" autoFormatId="16" applyNumberFormats="0" applyBorderFormats="0" applyFontFormats="1" applyPatternFormats="1" applyAlignmentFormats="0" applyWidthHeightFormats="0"/>
</file>

<file path=xl/queryTables/queryTable102.xml><?xml version="1.0" encoding="utf-8"?>
<queryTable xmlns="http://schemas.openxmlformats.org/spreadsheetml/2006/main" name="magie-interactive-et-jeux-divers-no174_66" preserveFormatting="0" connectionId="275" autoFormatId="16" applyNumberFormats="0" applyBorderFormats="0" applyFontFormats="1" applyPatternFormats="1" applyAlignmentFormats="0" applyWidthHeightFormats="0"/>
</file>

<file path=xl/queryTables/queryTable103.xml><?xml version="1.0" encoding="utf-8"?>
<queryTable xmlns="http://schemas.openxmlformats.org/spreadsheetml/2006/main" name="magie-interactive-et-jeux-divers-no174_143" preserveFormatting="0" connectionId="52" autoFormatId="16" applyNumberFormats="0" applyBorderFormats="0" applyFontFormats="1" applyPatternFormats="1" applyAlignmentFormats="0" applyWidthHeightFormats="0"/>
</file>

<file path=xl/queryTables/queryTable104.xml><?xml version="1.0" encoding="utf-8"?>
<queryTable xmlns="http://schemas.openxmlformats.org/spreadsheetml/2006/main" name="magie-interactive-et-jeux-divers-no174_268" preserveFormatting="0" connectionId="190" autoFormatId="16" applyNumberFormats="0" applyBorderFormats="0" applyFontFormats="1" applyPatternFormats="1" applyAlignmentFormats="0" applyWidthHeightFormats="0"/>
</file>

<file path=xl/queryTables/queryTable105.xml><?xml version="1.0" encoding="utf-8"?>
<queryTable xmlns="http://schemas.openxmlformats.org/spreadsheetml/2006/main" name="magie-interactive-et-jeux-divers-no174_295" preserveFormatting="0" connectionId="221" autoFormatId="16" applyNumberFormats="0" applyBorderFormats="0" applyFontFormats="1" applyPatternFormats="1" applyAlignmentFormats="0" applyWidthHeightFormats="0"/>
</file>

<file path=xl/queryTables/queryTable106.xml><?xml version="1.0" encoding="utf-8"?>
<queryTable xmlns="http://schemas.openxmlformats.org/spreadsheetml/2006/main" name="magie-interactive-et-jeux-divers-no174_199" preserveFormatting="0" connectionId="115" autoFormatId="16" applyNumberFormats="0" applyBorderFormats="0" applyFontFormats="1" applyPatternFormats="1" applyAlignmentFormats="0" applyWidthHeightFormats="0"/>
</file>

<file path=xl/queryTables/queryTable107.xml><?xml version="1.0" encoding="utf-8"?>
<queryTable xmlns="http://schemas.openxmlformats.org/spreadsheetml/2006/main" name="magie-interactive-et-jeux-divers-no174_23" preserveFormatting="0" connectionId="147" autoFormatId="16" applyNumberFormats="0" applyBorderFormats="0" applyFontFormats="1" applyPatternFormats="1" applyAlignmentFormats="0" applyWidthHeightFormats="0"/>
</file>

<file path=xl/queryTables/queryTable108.xml><?xml version="1.0" encoding="utf-8"?>
<queryTable xmlns="http://schemas.openxmlformats.org/spreadsheetml/2006/main" name="magie-interactive-et-jeux-divers-no174_179" preserveFormatting="0" connectionId="92" autoFormatId="16" applyNumberFormats="0" applyBorderFormats="0" applyFontFormats="1" applyPatternFormats="1" applyAlignmentFormats="0" applyWidthHeightFormats="0"/>
</file>

<file path=xl/queryTables/queryTable109.xml><?xml version="1.0" encoding="utf-8"?>
<queryTable xmlns="http://schemas.openxmlformats.org/spreadsheetml/2006/main" name="magie-interactive-et-jeux-divers-no174_38" preserveFormatting="0" connectionId="244" autoFormatId="16" applyNumberFormats="0" applyBorderFormats="0" applyFontFormats="1" applyPatternFormats="1" applyAlignmentFormats="0" applyWidthHeightFormats="0"/>
</file>

<file path=xl/queryTables/queryTable110.xml><?xml version="1.0" encoding="utf-8"?>
<queryTable xmlns="http://schemas.openxmlformats.org/spreadsheetml/2006/main" name="magie-interactive-et-jeux-divers-no174_139" preserveFormatting="0" connectionId="48" autoFormatId="16" applyNumberFormats="0" applyBorderFormats="0" applyFontFormats="1" applyPatternFormats="1" applyAlignmentFormats="0" applyWidthHeightFormats="0"/>
</file>

<file path=xl/queryTables/queryTable111.xml><?xml version="1.0" encoding="utf-8"?>
<queryTable xmlns="http://schemas.openxmlformats.org/spreadsheetml/2006/main" name="magie-interactive-et-jeux-divers-no174_304" preserveFormatting="0" connectionId="232" autoFormatId="16" applyNumberFormats="0" applyBorderFormats="0" applyFontFormats="1" applyPatternFormats="1" applyAlignmentFormats="0" applyWidthHeightFormats="0"/>
</file>

<file path=xl/queryTables/queryTable112.xml><?xml version="1.0" encoding="utf-8"?>
<queryTable xmlns="http://schemas.openxmlformats.org/spreadsheetml/2006/main" name="magie-interactive-et-jeux-divers-no174_21" preserveFormatting="0" connectionId="125" autoFormatId="16" applyNumberFormats="0" applyBorderFormats="0" applyFontFormats="1" applyPatternFormats="1" applyAlignmentFormats="0" applyWidthHeightFormats="0"/>
</file>

<file path=xl/queryTables/queryTable113.xml><?xml version="1.0" encoding="utf-8"?>
<queryTable xmlns="http://schemas.openxmlformats.org/spreadsheetml/2006/main" name="magie-interactive-et-jeux-divers-no174_39" preserveFormatting="0" connectionId="245" autoFormatId="16" applyNumberFormats="0" applyBorderFormats="0" applyFontFormats="1" applyPatternFormats="1" applyAlignmentFormats="0" applyWidthHeightFormats="0"/>
</file>

<file path=xl/queryTables/queryTable114.xml><?xml version="1.0" encoding="utf-8"?>
<queryTable xmlns="http://schemas.openxmlformats.org/spreadsheetml/2006/main" name="magie-interactive-et-jeux-divers-no174_82" preserveFormatting="0" connectionId="293" autoFormatId="16" applyNumberFormats="0" applyBorderFormats="0" applyFontFormats="1" applyPatternFormats="1" applyAlignmentFormats="0" applyWidthHeightFormats="0"/>
</file>

<file path=xl/queryTables/queryTable115.xml><?xml version="1.0" encoding="utf-8"?>
<queryTable xmlns="http://schemas.openxmlformats.org/spreadsheetml/2006/main" name="magie-interactive-et-jeux-divers-no174_258" preserveFormatting="0" connectionId="179" autoFormatId="16" applyNumberFormats="0" applyBorderFormats="0" applyFontFormats="1" applyPatternFormats="1" applyAlignmentFormats="0" applyWidthHeightFormats="0"/>
</file>

<file path=xl/queryTables/queryTable116.xml><?xml version="1.0" encoding="utf-8"?>
<queryTable xmlns="http://schemas.openxmlformats.org/spreadsheetml/2006/main" name="magie-interactive-et-jeux-divers-no174_57" preserveFormatting="0" connectionId="265" autoFormatId="16" applyNumberFormats="0" applyBorderFormats="0" applyFontFormats="1" applyPatternFormats="1" applyAlignmentFormats="0" applyWidthHeightFormats="0"/>
</file>

<file path=xl/queryTables/queryTable117.xml><?xml version="1.0" encoding="utf-8"?>
<queryTable xmlns="http://schemas.openxmlformats.org/spreadsheetml/2006/main" name="magie-interactive-et-jeux-divers-no174_200" preserveFormatting="0" connectionId="116" autoFormatId="16" applyNumberFormats="0" applyBorderFormats="0" applyFontFormats="1" applyPatternFormats="1" applyAlignmentFormats="0" applyWidthHeightFormats="0"/>
</file>

<file path=xl/queryTables/queryTable118.xml><?xml version="1.0" encoding="utf-8"?>
<queryTable xmlns="http://schemas.openxmlformats.org/spreadsheetml/2006/main" name="magie-interactive-et-jeux-divers-no174_69" preserveFormatting="0" connectionId="278" autoFormatId="16" applyNumberFormats="0" applyBorderFormats="0" applyFontFormats="1" applyPatternFormats="1" applyAlignmentFormats="0" applyWidthHeightFormats="0"/>
</file>

<file path=xl/queryTables/queryTable119.xml><?xml version="1.0" encoding="utf-8"?>
<queryTable xmlns="http://schemas.openxmlformats.org/spreadsheetml/2006/main" name="magie-interactive-et-jeux-divers-no174_203" preserveFormatting="0" connectionId="119" autoFormatId="16" applyNumberFormats="0" applyBorderFormats="0" applyFontFormats="1" applyPatternFormats="1" applyAlignmentFormats="0" applyWidthHeightFormats="0"/>
</file>

<file path=xl/queryTables/queryTable120.xml><?xml version="1.0" encoding="utf-8"?>
<queryTable xmlns="http://schemas.openxmlformats.org/spreadsheetml/2006/main" name="magie-interactive-et-jeux-divers-no174_146" preserveFormatting="0" connectionId="55" autoFormatId="16" applyNumberFormats="0" applyBorderFormats="0" applyFontFormats="1" applyPatternFormats="1" applyAlignmentFormats="0" applyWidthHeightFormats="0"/>
</file>

<file path=xl/queryTables/queryTable121.xml><?xml version="1.0" encoding="utf-8"?>
<queryTable xmlns="http://schemas.openxmlformats.org/spreadsheetml/2006/main" name="magie-interactive-et-jeux-divers-no174_272" preserveFormatting="0" connectionId="195" autoFormatId="16" applyNumberFormats="0" applyBorderFormats="0" applyFontFormats="1" applyPatternFormats="1" applyAlignmentFormats="0" applyWidthHeightFormats="0"/>
</file>

<file path=xl/queryTables/queryTable122.xml><?xml version="1.0" encoding="utf-8"?>
<queryTable xmlns="http://schemas.openxmlformats.org/spreadsheetml/2006/main" name="magie-interactive-et-jeux-divers-no174_122" preserveFormatting="0" connectionId="29" autoFormatId="16" applyNumberFormats="0" applyBorderFormats="0" applyFontFormats="1" applyPatternFormats="1" applyAlignmentFormats="0" applyWidthHeightFormats="0"/>
</file>

<file path=xl/queryTables/queryTable123.xml><?xml version="1.0" encoding="utf-8"?>
<queryTable xmlns="http://schemas.openxmlformats.org/spreadsheetml/2006/main" name="magie-interactive-et-jeux-divers-no174_222" preserveFormatting="0" connectionId="140" autoFormatId="16" applyNumberFormats="0" applyBorderFormats="0" applyFontFormats="1" applyPatternFormats="1" applyAlignmentFormats="0" applyWidthHeightFormats="0"/>
</file>

<file path=xl/queryTables/queryTable124.xml><?xml version="1.0" encoding="utf-8"?>
<queryTable xmlns="http://schemas.openxmlformats.org/spreadsheetml/2006/main" name="magie-interactive-et-jeux-divers-no174_280" preserveFormatting="0" connectionId="205" autoFormatId="16" applyNumberFormats="0" applyBorderFormats="0" applyFontFormats="1" applyPatternFormats="1" applyAlignmentFormats="0" applyWidthHeightFormats="0"/>
</file>

<file path=xl/queryTables/queryTable125.xml><?xml version="1.0" encoding="utf-8"?>
<queryTable xmlns="http://schemas.openxmlformats.org/spreadsheetml/2006/main" name="magie-interactive-et-jeux-divers-no174_47" preserveFormatting="0" connectionId="254" autoFormatId="16" applyNumberFormats="0" applyBorderFormats="0" applyFontFormats="1" applyPatternFormats="1" applyAlignmentFormats="0" applyWidthHeightFormats="0"/>
</file>

<file path=xl/queryTables/queryTable126.xml><?xml version="1.0" encoding="utf-8"?>
<queryTable xmlns="http://schemas.openxmlformats.org/spreadsheetml/2006/main" name="magie-interactive-et-jeux-divers-no174_74" preserveFormatting="0" connectionId="284" autoFormatId="16" applyNumberFormats="0" applyBorderFormats="0" applyFontFormats="1" applyPatternFormats="1" applyAlignmentFormats="0" applyWidthHeightFormats="0"/>
</file>

<file path=xl/queryTables/queryTable127.xml><?xml version="1.0" encoding="utf-8"?>
<queryTable xmlns="http://schemas.openxmlformats.org/spreadsheetml/2006/main" name="magie-interactive-et-jeux-divers-no174_261" preserveFormatting="0" connectionId="183" autoFormatId="16" applyNumberFormats="0" applyBorderFormats="0" applyFontFormats="1" applyPatternFormats="1" applyAlignmentFormats="0" applyWidthHeightFormats="0"/>
</file>

<file path=xl/queryTables/queryTable128.xml><?xml version="1.0" encoding="utf-8"?>
<queryTable xmlns="http://schemas.openxmlformats.org/spreadsheetml/2006/main" name="magie-interactive-et-jeux-divers-no174_68" preserveFormatting="0" connectionId="277" autoFormatId="16" applyNumberFormats="0" applyBorderFormats="0" applyFontFormats="1" applyPatternFormats="1" applyAlignmentFormats="0" applyWidthHeightFormats="0"/>
</file>

<file path=xl/queryTables/queryTable129.xml><?xml version="1.0" encoding="utf-8"?>
<queryTable xmlns="http://schemas.openxmlformats.org/spreadsheetml/2006/main" name="magie-interactive-et-jeux-divers-no174_193" preserveFormatting="0" connectionId="107" autoFormatId="16" applyNumberFormats="0" applyBorderFormats="0" applyFontFormats="1" applyPatternFormats="1" applyAlignmentFormats="0" applyWidthHeightFormats="0"/>
</file>

<file path=xl/queryTables/queryTable130.xml><?xml version="1.0" encoding="utf-8"?>
<queryTable xmlns="http://schemas.openxmlformats.org/spreadsheetml/2006/main" name="magie-interactive-et-jeux-divers-no174_99" preserveFormatting="0" connectionId="311" autoFormatId="16" applyNumberFormats="0" applyBorderFormats="0" applyFontFormats="1" applyPatternFormats="1" applyAlignmentFormats="0" applyWidthHeightFormats="0"/>
</file>

<file path=xl/queryTables/queryTable131.xml><?xml version="1.0" encoding="utf-8"?>
<queryTable xmlns="http://schemas.openxmlformats.org/spreadsheetml/2006/main" name="magie-interactive-et-jeux-divers-no174_290" preserveFormatting="0" connectionId="216" autoFormatId="16" applyNumberFormats="0" applyBorderFormats="0" applyFontFormats="1" applyPatternFormats="1" applyAlignmentFormats="0" applyWidthHeightFormats="0"/>
</file>

<file path=xl/queryTables/queryTable132.xml><?xml version="1.0" encoding="utf-8"?>
<queryTable xmlns="http://schemas.openxmlformats.org/spreadsheetml/2006/main" name="magie-interactive-et-jeux-divers-no174_54" preserveFormatting="0" connectionId="262" autoFormatId="16" applyNumberFormats="0" applyBorderFormats="0" applyFontFormats="1" applyPatternFormats="1" applyAlignmentFormats="0" applyWidthHeightFormats="0"/>
</file>

<file path=xl/queryTables/queryTable133.xml><?xml version="1.0" encoding="utf-8"?>
<queryTable xmlns="http://schemas.openxmlformats.org/spreadsheetml/2006/main" name="magie-interactive-et-jeux-divers-no174_276" preserveFormatting="0" connectionId="199" autoFormatId="16" applyNumberFormats="0" applyBorderFormats="0" applyFontFormats="1" applyPatternFormats="1" applyAlignmentFormats="0" applyWidthHeightFormats="0"/>
</file>

<file path=xl/queryTables/queryTable134.xml><?xml version="1.0" encoding="utf-8"?>
<queryTable xmlns="http://schemas.openxmlformats.org/spreadsheetml/2006/main" name="magie-interactive-et-jeux-divers-no174_86" preserveFormatting="0" connectionId="297" autoFormatId="16" applyNumberFormats="0" applyBorderFormats="0" applyFontFormats="1" applyPatternFormats="1" applyAlignmentFormats="0" applyWidthHeightFormats="0"/>
</file>

<file path=xl/queryTables/queryTable135.xml><?xml version="1.0" encoding="utf-8"?>
<queryTable xmlns="http://schemas.openxmlformats.org/spreadsheetml/2006/main" name="magie-interactive-et-jeux-divers-no174_274" preserveFormatting="0" connectionId="197" autoFormatId="16" applyNumberFormats="0" applyBorderFormats="0" applyFontFormats="1" applyPatternFormats="1" applyAlignmentFormats="0" applyWidthHeightFormats="0"/>
</file>

<file path=xl/queryTables/queryTable136.xml><?xml version="1.0" encoding="utf-8"?>
<queryTable xmlns="http://schemas.openxmlformats.org/spreadsheetml/2006/main" name="magie-interactive-et-jeux-divers-no174_211" preserveFormatting="0" connectionId="128" autoFormatId="16" applyNumberFormats="0" applyBorderFormats="0" applyFontFormats="1" applyPatternFormats="1" applyAlignmentFormats="0" applyWidthHeightFormats="0"/>
</file>

<file path=xl/queryTables/queryTable137.xml><?xml version="1.0" encoding="utf-8"?>
<queryTable xmlns="http://schemas.openxmlformats.org/spreadsheetml/2006/main" name="magie-interactive-et-jeux-divers-no174_76" preserveFormatting="0" connectionId="286" autoFormatId="16" applyNumberFormats="0" applyBorderFormats="0" applyFontFormats="1" applyPatternFormats="1" applyAlignmentFormats="0" applyWidthHeightFormats="0"/>
</file>

<file path=xl/queryTables/queryTable138.xml><?xml version="1.0" encoding="utf-8"?>
<queryTable xmlns="http://schemas.openxmlformats.org/spreadsheetml/2006/main" name="magie-interactive-et-jeux-divers-no174_202" preserveFormatting="0" connectionId="118" autoFormatId="16" applyNumberFormats="0" applyBorderFormats="0" applyFontFormats="1" applyPatternFormats="1" applyAlignmentFormats="0" applyWidthHeightFormats="0"/>
</file>

<file path=xl/queryTables/queryTable139.xml><?xml version="1.0" encoding="utf-8"?>
<queryTable xmlns="http://schemas.openxmlformats.org/spreadsheetml/2006/main" name="magie-interactive-et-jeux-divers-no174_243" preserveFormatting="0" connectionId="163" autoFormatId="16" applyNumberFormats="0" applyBorderFormats="0" applyFontFormats="1" applyPatternFormats="1" applyAlignmentFormats="0" applyWidthHeightFormats="0"/>
</file>

<file path=xl/queryTables/queryTable140.xml><?xml version="1.0" encoding="utf-8"?>
<queryTable xmlns="http://schemas.openxmlformats.org/spreadsheetml/2006/main" name="magie-interactive-et-jeux-divers-no174_63" preserveFormatting="0" connectionId="272" autoFormatId="16" applyNumberFormats="0" applyBorderFormats="0" applyFontFormats="1" applyPatternFormats="1" applyAlignmentFormats="0" applyWidthHeightFormats="0"/>
</file>

<file path=xl/queryTables/queryTable141.xml><?xml version="1.0" encoding="utf-8"?>
<queryTable xmlns="http://schemas.openxmlformats.org/spreadsheetml/2006/main" name="magie-interactive-et-jeux-divers-no174_172" preserveFormatting="0" connectionId="84" autoFormatId="16" applyNumberFormats="0" applyBorderFormats="0" applyFontFormats="1" applyPatternFormats="1" applyAlignmentFormats="0" applyWidthHeightFormats="0"/>
</file>

<file path=xl/queryTables/queryTable142.xml><?xml version="1.0" encoding="utf-8"?>
<queryTable xmlns="http://schemas.openxmlformats.org/spreadsheetml/2006/main" name="magie-interactive-et-jeux-divers-no174_163" preserveFormatting="0" connectionId="74" autoFormatId="16" applyNumberFormats="0" applyBorderFormats="0" applyFontFormats="1" applyPatternFormats="1" applyAlignmentFormats="0" applyWidthHeightFormats="0"/>
</file>

<file path=xl/queryTables/queryTable143.xml><?xml version="1.0" encoding="utf-8"?>
<queryTable xmlns="http://schemas.openxmlformats.org/spreadsheetml/2006/main" name="magie-interactive-et-jeux-divers-no174_41" preserveFormatting="0" connectionId="248" autoFormatId="16" applyNumberFormats="0" applyBorderFormats="0" applyFontFormats="1" applyPatternFormats="1" applyAlignmentFormats="0" applyWidthHeightFormats="0"/>
</file>

<file path=xl/queryTables/queryTable144.xml><?xml version="1.0" encoding="utf-8"?>
<queryTable xmlns="http://schemas.openxmlformats.org/spreadsheetml/2006/main" name="magie-interactive-et-jeux-divers-no174_245" preserveFormatting="0" connectionId="165" autoFormatId="16" applyNumberFormats="0" applyBorderFormats="0" applyFontFormats="1" applyPatternFormats="1" applyAlignmentFormats="0" applyWidthHeightFormats="0"/>
</file>

<file path=xl/queryTables/queryTable145.xml><?xml version="1.0" encoding="utf-8"?>
<queryTable xmlns="http://schemas.openxmlformats.org/spreadsheetml/2006/main" name="magie-interactive-et-jeux-divers-no174_114" preserveFormatting="0" connectionId="20" autoFormatId="16" applyNumberFormats="0" applyBorderFormats="0" applyFontFormats="1" applyPatternFormats="1" applyAlignmentFormats="0" applyWidthHeightFormats="0"/>
</file>

<file path=xl/queryTables/queryTable146.xml><?xml version="1.0" encoding="utf-8"?>
<queryTable xmlns="http://schemas.openxmlformats.org/spreadsheetml/2006/main" name="magie-interactive-et-jeux-divers-no174_126" preserveFormatting="0" connectionId="33" autoFormatId="16" applyNumberFormats="0" applyBorderFormats="0" applyFontFormats="1" applyPatternFormats="1" applyAlignmentFormats="0" applyWidthHeightFormats="0"/>
</file>

<file path=xl/queryTables/queryTable147.xml><?xml version="1.0" encoding="utf-8"?>
<queryTable xmlns="http://schemas.openxmlformats.org/spreadsheetml/2006/main" name="magie-interactive-et-jeux-divers-no174_96" preserveFormatting="0" connectionId="308" autoFormatId="16" applyNumberFormats="0" applyBorderFormats="0" applyFontFormats="1" applyPatternFormats="1" applyAlignmentFormats="0" applyWidthHeightFormats="0"/>
</file>

<file path=xl/queryTables/queryTable148.xml><?xml version="1.0" encoding="utf-8"?>
<queryTable xmlns="http://schemas.openxmlformats.org/spreadsheetml/2006/main" name="magie-interactive-et-jeux-divers-no174_119" preserveFormatting="0" connectionId="26" autoFormatId="16" applyNumberFormats="0" applyBorderFormats="0" applyFontFormats="1" applyPatternFormats="1" applyAlignmentFormats="0" applyWidthHeightFormats="0"/>
</file>

<file path=xl/queryTables/queryTable149.xml><?xml version="1.0" encoding="utf-8"?>
<queryTable xmlns="http://schemas.openxmlformats.org/spreadsheetml/2006/main" name="magie-interactive-et-jeux-divers-no174_288" preserveFormatting="0" connectionId="214" autoFormatId="16" applyNumberFormats="0" applyBorderFormats="0" applyFontFormats="1" applyPatternFormats="1" applyAlignmentFormats="0" applyWidthHeightFormats="0"/>
</file>

<file path=xl/queryTables/queryTable150.xml><?xml version="1.0" encoding="utf-8"?>
<queryTable xmlns="http://schemas.openxmlformats.org/spreadsheetml/2006/main" name="magie-interactive-et-jeux-divers-no174_43" preserveFormatting="0" connectionId="250" autoFormatId="16" applyNumberFormats="0" applyBorderFormats="0" applyFontFormats="1" applyPatternFormats="1" applyAlignmentFormats="0" applyWidthHeightFormats="0"/>
</file>

<file path=xl/queryTables/queryTable151.xml><?xml version="1.0" encoding="utf-8"?>
<queryTable xmlns="http://schemas.openxmlformats.org/spreadsheetml/2006/main" name="magie-interactive-et-jeux-divers-no174_105" preserveFormatting="0" connectionId="9" autoFormatId="16" applyNumberFormats="0" applyBorderFormats="0" applyFontFormats="1" applyPatternFormats="1" applyAlignmentFormats="0" applyWidthHeightFormats="0"/>
</file>

<file path=xl/queryTables/queryTable152.xml><?xml version="1.0" encoding="utf-8"?>
<queryTable xmlns="http://schemas.openxmlformats.org/spreadsheetml/2006/main" name="magie-interactive-et-jeux-divers-no174_32" preserveFormatting="0" connectionId="238" autoFormatId="16" applyNumberFormats="0" applyBorderFormats="0" applyFontFormats="1" applyPatternFormats="1" applyAlignmentFormats="0" applyWidthHeightFormats="0"/>
</file>

<file path=xl/queryTables/queryTable153.xml><?xml version="1.0" encoding="utf-8"?>
<queryTable xmlns="http://schemas.openxmlformats.org/spreadsheetml/2006/main" name="magie-interactive-et-jeux-divers-no174_135" preserveFormatting="0" connectionId="43" autoFormatId="16" applyNumberFormats="0" applyBorderFormats="0" applyFontFormats="1" applyPatternFormats="1" applyAlignmentFormats="0" applyWidthHeightFormats="0"/>
</file>

<file path=xl/queryTables/queryTable154.xml><?xml version="1.0" encoding="utf-8"?>
<queryTable xmlns="http://schemas.openxmlformats.org/spreadsheetml/2006/main" name="magie-interactive-et-jeux-divers-no174_50" preserveFormatting="0" connectionId="258" autoFormatId="16" applyNumberFormats="0" applyBorderFormats="0" applyFontFormats="1" applyPatternFormats="1" applyAlignmentFormats="0" applyWidthHeightFormats="0"/>
</file>

<file path=xl/queryTables/queryTable155.xml><?xml version="1.0" encoding="utf-8"?>
<queryTable xmlns="http://schemas.openxmlformats.org/spreadsheetml/2006/main" name="magie-interactive-et-jeux-divers-no174_160" preserveFormatting="0" connectionId="71" autoFormatId="16" applyNumberFormats="0" applyBorderFormats="0" applyFontFormats="1" applyPatternFormats="1" applyAlignmentFormats="0" applyWidthHeightFormats="0"/>
</file>

<file path=xl/queryTables/queryTable156.xml><?xml version="1.0" encoding="utf-8"?>
<queryTable xmlns="http://schemas.openxmlformats.org/spreadsheetml/2006/main" name="magie-interactive-et-jeux-divers-no174_285" preserveFormatting="0" connectionId="210" autoFormatId="16" applyNumberFormats="0" applyBorderFormats="0" applyFontFormats="1" applyPatternFormats="1" applyAlignmentFormats="0" applyWidthHeightFormats="0"/>
</file>

<file path=xl/queryTables/queryTable157.xml><?xml version="1.0" encoding="utf-8"?>
<queryTable xmlns="http://schemas.openxmlformats.org/spreadsheetml/2006/main" name="magie-interactive-et-jeux-divers-no174_297" preserveFormatting="0" connectionId="223" autoFormatId="16" applyNumberFormats="0" applyBorderFormats="0" applyFontFormats="1" applyPatternFormats="1" applyAlignmentFormats="0" applyWidthHeightFormats="0"/>
</file>

<file path=xl/queryTables/queryTable158.xml><?xml version="1.0" encoding="utf-8"?>
<queryTable xmlns="http://schemas.openxmlformats.org/spreadsheetml/2006/main" name="magie-interactive-et-jeux-divers-no174_90" preserveFormatting="0" connectionId="302" autoFormatId="16" applyNumberFormats="0" applyBorderFormats="0" applyFontFormats="1" applyPatternFormats="1" applyAlignmentFormats="0" applyWidthHeightFormats="0"/>
</file>

<file path=xl/queryTables/queryTable159.xml><?xml version="1.0" encoding="utf-8"?>
<queryTable xmlns="http://schemas.openxmlformats.org/spreadsheetml/2006/main" name="magie-interactive-et-jeux-divers-no174_231" preserveFormatting="0" connectionId="150" autoFormatId="16" applyNumberFormats="0" applyBorderFormats="0" applyFontFormats="1" applyPatternFormats="1" applyAlignmentFormats="0" applyWidthHeightFormats="0"/>
</file>

<file path=xl/queryTables/queryTable160.xml><?xml version="1.0" encoding="utf-8"?>
<queryTable xmlns="http://schemas.openxmlformats.org/spreadsheetml/2006/main" name="magie-interactive-et-jeux-divers-no174_5" preserveFormatting="0" connectionId="257" autoFormatId="16" applyNumberFormats="0" applyBorderFormats="0" applyFontFormats="1" applyPatternFormats="1" applyAlignmentFormats="0" applyWidthHeightFormats="0"/>
</file>

<file path=xl/queryTables/queryTable161.xml><?xml version="1.0" encoding="utf-8"?>
<queryTable xmlns="http://schemas.openxmlformats.org/spreadsheetml/2006/main" name="magie-interactive-et-jeux-divers-no174_129" preserveFormatting="0" connectionId="37" autoFormatId="16" applyNumberFormats="0" applyBorderFormats="0" applyFontFormats="1" applyPatternFormats="1" applyAlignmentFormats="0" applyWidthHeightFormats="0"/>
</file>

<file path=xl/queryTables/queryTable162.xml><?xml version="1.0" encoding="utf-8"?>
<queryTable xmlns="http://schemas.openxmlformats.org/spreadsheetml/2006/main" name="magie-interactive-et-jeux-divers-no174_81" preserveFormatting="0" connectionId="292" autoFormatId="16" applyNumberFormats="0" applyBorderFormats="0" applyFontFormats="1" applyPatternFormats="1" applyAlignmentFormats="0" applyWidthHeightFormats="0"/>
</file>

<file path=xl/queryTables/queryTable163.xml><?xml version="1.0" encoding="utf-8"?>
<queryTable xmlns="http://schemas.openxmlformats.org/spreadsheetml/2006/main" name="magie-interactive-et-jeux-divers-no174_219" preserveFormatting="0" connectionId="137" autoFormatId="16" applyNumberFormats="0" applyBorderFormats="0" applyFontFormats="1" applyPatternFormats="1" applyAlignmentFormats="0" applyWidthHeightFormats="0"/>
</file>

<file path=xl/queryTables/queryTable164.xml><?xml version="1.0" encoding="utf-8"?>
<queryTable xmlns="http://schemas.openxmlformats.org/spreadsheetml/2006/main" name="magie-interactive-et-jeux-divers-no174_286" preserveFormatting="0" connectionId="211" autoFormatId="16" applyNumberFormats="0" applyBorderFormats="0" applyFontFormats="1" applyPatternFormats="1" applyAlignmentFormats="0" applyWidthHeightFormats="0"/>
</file>

<file path=xl/queryTables/queryTable165.xml><?xml version="1.0" encoding="utf-8"?>
<queryTable xmlns="http://schemas.openxmlformats.org/spreadsheetml/2006/main" name="magie-interactive-et-jeux-divers-no174_154" preserveFormatting="0" connectionId="64" autoFormatId="16" applyNumberFormats="0" applyBorderFormats="0" applyFontFormats="1" applyPatternFormats="1" applyAlignmentFormats="0" applyWidthHeightFormats="0"/>
</file>

<file path=xl/queryTables/queryTable166.xml><?xml version="1.0" encoding="utf-8"?>
<queryTable xmlns="http://schemas.openxmlformats.org/spreadsheetml/2006/main" name="magie-interactive-et-jeux-divers-no174_24" preserveFormatting="0" connectionId="158" autoFormatId="16" applyNumberFormats="0" applyBorderFormats="0" applyFontFormats="1" applyPatternFormats="1" applyAlignmentFormats="0" applyWidthHeightFormats="0"/>
</file>

<file path=xl/queryTables/queryTable167.xml><?xml version="1.0" encoding="utf-8"?>
<queryTable xmlns="http://schemas.openxmlformats.org/spreadsheetml/2006/main" name="magie-interactive-et-jeux-divers-no174_278" preserveFormatting="0" connectionId="201" autoFormatId="16" applyNumberFormats="0" applyBorderFormats="0" applyFontFormats="1" applyPatternFormats="1" applyAlignmentFormats="0" applyWidthHeightFormats="0"/>
</file>

<file path=xl/queryTables/queryTable168.xml><?xml version="1.0" encoding="utf-8"?>
<queryTable xmlns="http://schemas.openxmlformats.org/spreadsheetml/2006/main" name="magie-interactive-et-jeux-divers-no174_151" preserveFormatting="0" connectionId="61" autoFormatId="16" applyNumberFormats="0" applyBorderFormats="0" applyFontFormats="1" applyPatternFormats="1" applyAlignmentFormats="0" applyWidthHeightFormats="0"/>
</file>

<file path=xl/queryTables/queryTable169.xml><?xml version="1.0" encoding="utf-8"?>
<queryTable xmlns="http://schemas.openxmlformats.org/spreadsheetml/2006/main" name="magie-interactive-et-jeux-divers-no174_235" preserveFormatting="0" connectionId="154" autoFormatId="16" applyNumberFormats="0" applyBorderFormats="0" applyFontFormats="1" applyPatternFormats="1" applyAlignmentFormats="0" applyWidthHeightFormats="0"/>
</file>

<file path=xl/queryTables/queryTable170.xml><?xml version="1.0" encoding="utf-8"?>
<queryTable xmlns="http://schemas.openxmlformats.org/spreadsheetml/2006/main" name="magie-interactive-et-jeux-divers-no174_267" preserveFormatting="0" connectionId="189" autoFormatId="16" applyNumberFormats="0" applyBorderFormats="0" applyFontFormats="1" applyPatternFormats="1" applyAlignmentFormats="0" applyWidthHeightFormats="0"/>
</file>

<file path=xl/queryTables/queryTable171.xml><?xml version="1.0" encoding="utf-8"?>
<queryTable xmlns="http://schemas.openxmlformats.org/spreadsheetml/2006/main" name="magie-interactive-et-jeux-divers-no174_71" preserveFormatting="0" connectionId="281" autoFormatId="16" applyNumberFormats="0" applyBorderFormats="0" applyFontFormats="1" applyPatternFormats="1" applyAlignmentFormats="0" applyWidthHeightFormats="0"/>
</file>

<file path=xl/queryTables/queryTable172.xml><?xml version="1.0" encoding="utf-8"?>
<queryTable xmlns="http://schemas.openxmlformats.org/spreadsheetml/2006/main" name="magie-interactive-et-jeux-divers-no174_109" preserveFormatting="0" connectionId="13" autoFormatId="16" applyNumberFormats="0" applyBorderFormats="0" applyFontFormats="1" applyPatternFormats="1" applyAlignmentFormats="0" applyWidthHeightFormats="0"/>
</file>

<file path=xl/queryTables/queryTable173.xml><?xml version="1.0" encoding="utf-8"?>
<queryTable xmlns="http://schemas.openxmlformats.org/spreadsheetml/2006/main" name="magie-interactive-et-jeux-divers-no174_262" preserveFormatting="0" connectionId="184" autoFormatId="16" applyNumberFormats="0" applyBorderFormats="0" applyFontFormats="1" applyPatternFormats="1" applyAlignmentFormats="0" applyWidthHeightFormats="0"/>
</file>

<file path=xl/queryTables/queryTable174.xml><?xml version="1.0" encoding="utf-8"?>
<queryTable xmlns="http://schemas.openxmlformats.org/spreadsheetml/2006/main" name="magie-interactive-et-jeux-divers-no174_102" preserveFormatting="0" connectionId="6" autoFormatId="16" applyNumberFormats="0" applyBorderFormats="0" applyFontFormats="1" applyPatternFormats="1" applyAlignmentFormats="0" applyWidthHeightFormats="0"/>
</file>

<file path=xl/queryTables/queryTable175.xml><?xml version="1.0" encoding="utf-8"?>
<queryTable xmlns="http://schemas.openxmlformats.org/spreadsheetml/2006/main" name="magie-interactive-et-jeux-divers-no174_36" preserveFormatting="0" connectionId="242" autoFormatId="16" applyNumberFormats="0" applyBorderFormats="0" applyFontFormats="1" applyPatternFormats="1" applyAlignmentFormats="0" applyWidthHeightFormats="0"/>
</file>

<file path=xl/queryTables/queryTable176.xml><?xml version="1.0" encoding="utf-8"?>
<queryTable xmlns="http://schemas.openxmlformats.org/spreadsheetml/2006/main" name="magie-interactive-et-jeux-divers-no174_149" preserveFormatting="0" connectionId="59" autoFormatId="16" applyNumberFormats="0" applyBorderFormats="0" applyFontFormats="1" applyPatternFormats="1" applyAlignmentFormats="0" applyWidthHeightFormats="0"/>
</file>

<file path=xl/queryTables/queryTable177.xml><?xml version="1.0" encoding="utf-8"?>
<queryTable xmlns="http://schemas.openxmlformats.org/spreadsheetml/2006/main" name="magie-interactive-et-jeux-divers-no174_4" preserveFormatting="0" connectionId="246" autoFormatId="16" applyNumberFormats="0" applyBorderFormats="0" applyFontFormats="1" applyPatternFormats="1" applyAlignmentFormats="0" applyWidthHeightFormats="0"/>
</file>

<file path=xl/queryTables/queryTable178.xml><?xml version="1.0" encoding="utf-8"?>
<queryTable xmlns="http://schemas.openxmlformats.org/spreadsheetml/2006/main" name="magie-interactive-et-jeux-divers-no174_14" preserveFormatting="0" connectionId="47" autoFormatId="16" applyNumberFormats="0" applyBorderFormats="0" applyFontFormats="1" applyPatternFormats="1" applyAlignmentFormats="0" applyWidthHeightFormats="0"/>
</file>

<file path=xl/queryTables/queryTable179.xml><?xml version="1.0" encoding="utf-8"?>
<queryTable xmlns="http://schemas.openxmlformats.org/spreadsheetml/2006/main" name="magie-interactive-et-jeux-divers-no174_124" preserveFormatting="0" connectionId="31" autoFormatId="16" applyNumberFormats="0" applyBorderFormats="0" applyFontFormats="1" applyPatternFormats="1" applyAlignmentFormats="0" applyWidthHeightFormats="0"/>
</file>

<file path=xl/queryTables/queryTable180.xml><?xml version="1.0" encoding="utf-8"?>
<queryTable xmlns="http://schemas.openxmlformats.org/spreadsheetml/2006/main" name="magie-interactive-et-jeux-divers-no174_142" preserveFormatting="0" connectionId="51" autoFormatId="16" applyNumberFormats="0" applyBorderFormats="0" applyFontFormats="1" applyPatternFormats="1" applyAlignmentFormats="0" applyWidthHeightFormats="0"/>
</file>

<file path=xl/queryTables/queryTable181.xml><?xml version="1.0" encoding="utf-8"?>
<queryTable xmlns="http://schemas.openxmlformats.org/spreadsheetml/2006/main" name="magie-interactive-et-jeux-divers-no174_89" preserveFormatting="0" connectionId="300" autoFormatId="16" applyNumberFormats="0" applyBorderFormats="0" applyFontFormats="1" applyPatternFormats="1" applyAlignmentFormats="0" applyWidthHeightFormats="0"/>
</file>

<file path=xl/queryTables/queryTable182.xml><?xml version="1.0" encoding="utf-8"?>
<queryTable xmlns="http://schemas.openxmlformats.org/spreadsheetml/2006/main" name="magie-interactive-et-jeux-divers-no174_46" preserveFormatting="0" connectionId="253" autoFormatId="16" applyNumberFormats="0" applyBorderFormats="0" applyFontFormats="1" applyPatternFormats="1" applyAlignmentFormats="0" applyWidthHeightFormats="0"/>
</file>

<file path=xl/queryTables/queryTable183.xml><?xml version="1.0" encoding="utf-8"?>
<queryTable xmlns="http://schemas.openxmlformats.org/spreadsheetml/2006/main" name="magie-interactive-et-jeux-divers-no174_246" preserveFormatting="0" connectionId="166" autoFormatId="16" applyNumberFormats="0" applyBorderFormats="0" applyFontFormats="1" applyPatternFormats="1" applyAlignmentFormats="0" applyWidthHeightFormats="0"/>
</file>

<file path=xl/queryTables/queryTable184.xml><?xml version="1.0" encoding="utf-8"?>
<queryTable xmlns="http://schemas.openxmlformats.org/spreadsheetml/2006/main" name="magie-interactive-et-jeux-divers-no174_127" preserveFormatting="0" connectionId="34" autoFormatId="16" applyNumberFormats="0" applyBorderFormats="0" applyFontFormats="1" applyPatternFormats="1" applyAlignmentFormats="0" applyWidthHeightFormats="0"/>
</file>

<file path=xl/queryTables/queryTable185.xml><?xml version="1.0" encoding="utf-8"?>
<queryTable xmlns="http://schemas.openxmlformats.org/spreadsheetml/2006/main" name="magie-interactive-et-jeux-divers-no174_156" preserveFormatting="0" connectionId="66" autoFormatId="16" applyNumberFormats="0" applyBorderFormats="0" applyFontFormats="1" applyPatternFormats="1" applyAlignmentFormats="0" applyWidthHeightFormats="0"/>
</file>

<file path=xl/queryTables/queryTable186.xml><?xml version="1.0" encoding="utf-8"?>
<queryTable xmlns="http://schemas.openxmlformats.org/spreadsheetml/2006/main" name="magie-interactive-et-jeux-divers-no174_169" preserveFormatting="0" connectionId="81" autoFormatId="16" applyNumberFormats="0" applyBorderFormats="0" applyFontFormats="1" applyPatternFormats="1" applyAlignmentFormats="0" applyWidthHeightFormats="0"/>
</file>

<file path=xl/queryTables/queryTable187.xml><?xml version="1.0" encoding="utf-8"?>
<queryTable xmlns="http://schemas.openxmlformats.org/spreadsheetml/2006/main" name="magie-interactive-et-jeux-divers-no174_298" preserveFormatting="0" connectionId="226" autoFormatId="16" applyNumberFormats="0" applyBorderFormats="0" applyFontFormats="1" applyPatternFormats="1" applyAlignmentFormats="0" applyWidthHeightFormats="0"/>
</file>

<file path=xl/queryTables/queryTable188.xml><?xml version="1.0" encoding="utf-8"?>
<queryTable xmlns="http://schemas.openxmlformats.org/spreadsheetml/2006/main" name="magie-interactive-et-jeux-divers-no174_8" preserveFormatting="0" connectionId="290" autoFormatId="16" applyNumberFormats="0" applyBorderFormats="0" applyFontFormats="1" applyPatternFormats="1" applyAlignmentFormats="0" applyWidthHeightFormats="0"/>
</file>

<file path=xl/queryTables/queryTable189.xml><?xml version="1.0" encoding="utf-8"?>
<queryTable xmlns="http://schemas.openxmlformats.org/spreadsheetml/2006/main" name="magie-interactive-et-jeux-divers-no174_16" preserveFormatting="0" connectionId="69" autoFormatId="16" applyNumberFormats="0" applyBorderFormats="0" applyFontFormats="1" applyPatternFormats="1" applyAlignmentFormats="0" applyWidthHeightFormats="0"/>
</file>

<file path=xl/queryTables/queryTable190.xml><?xml version="1.0" encoding="utf-8"?>
<queryTable xmlns="http://schemas.openxmlformats.org/spreadsheetml/2006/main" name="magie-interactive-et-jeux-divers-no174_187" preserveFormatting="0" connectionId="100" autoFormatId="16" applyNumberFormats="0" applyBorderFormats="0" applyFontFormats="1" applyPatternFormats="1" applyAlignmentFormats="0" applyWidthHeightFormats="0"/>
</file>

<file path=xl/queryTables/queryTable191.xml><?xml version="1.0" encoding="utf-8"?>
<queryTable xmlns="http://schemas.openxmlformats.org/spreadsheetml/2006/main" name="magie-interactive-et-jeux-divers-no174_49" preserveFormatting="0" connectionId="256" autoFormatId="16" applyNumberFormats="0" applyBorderFormats="0" applyFontFormats="1" applyPatternFormats="1" applyAlignmentFormats="0" applyWidthHeightFormats="0"/>
</file>

<file path=xl/queryTables/queryTable192.xml><?xml version="1.0" encoding="utf-8"?>
<queryTable xmlns="http://schemas.openxmlformats.org/spreadsheetml/2006/main" name="magie-interactive-et-jeux-divers-no174_183" preserveFormatting="0" connectionId="96" autoFormatId="16" applyNumberFormats="0" applyBorderFormats="0" applyFontFormats="1" applyPatternFormats="1" applyAlignmentFormats="0" applyWidthHeightFormats="0"/>
</file>

<file path=xl/queryTables/queryTable193.xml><?xml version="1.0" encoding="utf-8"?>
<queryTable xmlns="http://schemas.openxmlformats.org/spreadsheetml/2006/main" name="magie-interactive-et-jeux-divers-no174_78" preserveFormatting="0" connectionId="288" autoFormatId="16" applyNumberFormats="0" applyBorderFormats="0" applyFontFormats="1" applyPatternFormats="1" applyAlignmentFormats="0" applyWidthHeightFormats="0"/>
</file>

<file path=xl/queryTables/queryTable194.xml><?xml version="1.0" encoding="utf-8"?>
<queryTable xmlns="http://schemas.openxmlformats.org/spreadsheetml/2006/main" name="magie-interactive-et-jeux-divers-no174_186" preserveFormatting="0" connectionId="99" autoFormatId="16" applyNumberFormats="0" applyBorderFormats="0" applyFontFormats="1" applyPatternFormats="1" applyAlignmentFormats="0" applyWidthHeightFormats="0"/>
</file>

<file path=xl/queryTables/queryTable195.xml><?xml version="1.0" encoding="utf-8"?>
<queryTable xmlns="http://schemas.openxmlformats.org/spreadsheetml/2006/main" name="magie-interactive-et-jeux-divers-no174_306" preserveFormatting="0" connectionId="234" autoFormatId="16" applyNumberFormats="0" applyBorderFormats="0" applyFontFormats="1" applyPatternFormats="1" applyAlignmentFormats="0" applyWidthHeightFormats="0"/>
</file>

<file path=xl/queryTables/queryTable196.xml><?xml version="1.0" encoding="utf-8"?>
<queryTable xmlns="http://schemas.openxmlformats.org/spreadsheetml/2006/main" name="magie-interactive-et-jeux-divers-no174_300" preserveFormatting="0" connectionId="228" autoFormatId="16" applyNumberFormats="0" applyBorderFormats="0" applyFontFormats="1" applyPatternFormats="1" applyAlignmentFormats="0" applyWidthHeightFormats="0"/>
</file>

<file path=xl/queryTables/queryTable197.xml><?xml version="1.0" encoding="utf-8"?>
<queryTable xmlns="http://schemas.openxmlformats.org/spreadsheetml/2006/main" name="magie-interactive-et-jeux-divers-no174_70" preserveFormatting="0" connectionId="280" autoFormatId="16" applyNumberFormats="0" applyBorderFormats="0" applyFontFormats="1" applyPatternFormats="1" applyAlignmentFormats="0" applyWidthHeightFormats="0"/>
</file>

<file path=xl/queryTables/queryTable198.xml><?xml version="1.0" encoding="utf-8"?>
<queryTable xmlns="http://schemas.openxmlformats.org/spreadsheetml/2006/main" name="magie-interactive-et-jeux-divers-no174_7" preserveFormatting="0" connectionId="279" autoFormatId="16" applyNumberFormats="0" applyBorderFormats="0" applyFontFormats="1" applyPatternFormats="1" applyAlignmentFormats="0" applyWidthHeightFormats="0"/>
</file>

<file path=xl/queryTables/queryTable199.xml><?xml version="1.0" encoding="utf-8"?>
<queryTable xmlns="http://schemas.openxmlformats.org/spreadsheetml/2006/main" name="magie-interactive-et-jeux-divers-no174_148" preserveFormatting="0" connectionId="57" autoFormatId="16" applyNumberFormats="0" applyBorderFormats="0" applyFontFormats="1" applyPatternFormats="1" applyAlignmentFormats="0" applyWidthHeightFormats="0"/>
</file>

<file path=xl/queryTables/queryTable200.xml><?xml version="1.0" encoding="utf-8"?>
<queryTable xmlns="http://schemas.openxmlformats.org/spreadsheetml/2006/main" name="magie-interactive-et-jeux-divers-no174_228" preserveFormatting="0" connectionId="146" autoFormatId="16" applyNumberFormats="0" applyBorderFormats="0" applyFontFormats="1" applyPatternFormats="1" applyAlignmentFormats="0" applyWidthHeightFormats="0"/>
</file>

<file path=xl/queryTables/queryTable201.xml><?xml version="1.0" encoding="utf-8"?>
<queryTable xmlns="http://schemas.openxmlformats.org/spreadsheetml/2006/main" name="magie-interactive-et-jeux-divers-no174_53" preserveFormatting="0" connectionId="261" autoFormatId="16" applyNumberFormats="0" applyBorderFormats="0" applyFontFormats="1" applyPatternFormats="1" applyAlignmentFormats="0" applyWidthHeightFormats="0"/>
</file>

<file path=xl/queryTables/queryTable202.xml><?xml version="1.0" encoding="utf-8"?>
<queryTable xmlns="http://schemas.openxmlformats.org/spreadsheetml/2006/main" name="magie-interactive-et-jeux-divers-no174_168" preserveFormatting="0" connectionId="79" autoFormatId="16" applyNumberFormats="0" applyBorderFormats="0" applyFontFormats="1" applyPatternFormats="1" applyAlignmentFormats="0" applyWidthHeightFormats="0"/>
</file>

<file path=xl/queryTables/queryTable203.xml><?xml version="1.0" encoding="utf-8"?>
<queryTable xmlns="http://schemas.openxmlformats.org/spreadsheetml/2006/main" name="magie-interactive-et-jeux-divers-no174_1" preserveFormatting="0" connectionId="2" autoFormatId="16" applyNumberFormats="0" applyBorderFormats="0" applyFontFormats="1" applyPatternFormats="1" applyAlignmentFormats="0" applyWidthHeightFormats="0"/>
</file>

<file path=xl/queryTables/queryTable204.xml><?xml version="1.0" encoding="utf-8"?>
<queryTable xmlns="http://schemas.openxmlformats.org/spreadsheetml/2006/main" name="magie-interactive-et-jeux-divers-no174_137" preserveFormatting="0" connectionId="45" autoFormatId="16" applyNumberFormats="0" applyBorderFormats="0" applyFontFormats="1" applyPatternFormats="1" applyAlignmentFormats="0" applyWidthHeightFormats="0"/>
</file>

<file path=xl/queryTables/queryTable205.xml><?xml version="1.0" encoding="utf-8"?>
<queryTable xmlns="http://schemas.openxmlformats.org/spreadsheetml/2006/main" name="magie-interactive-et-jeux-divers-no174_185" preserveFormatting="0" connectionId="98" autoFormatId="16" applyNumberFormats="0" applyBorderFormats="0" applyFontFormats="1" applyPatternFormats="1" applyAlignmentFormats="0" applyWidthHeightFormats="0"/>
</file>

<file path=xl/queryTables/queryTable206.xml><?xml version="1.0" encoding="utf-8"?>
<queryTable xmlns="http://schemas.openxmlformats.org/spreadsheetml/2006/main" name="magie-interactive-et-jeux-divers-no174_77" preserveFormatting="0" connectionId="287" autoFormatId="16" applyNumberFormats="0" applyBorderFormats="0" applyFontFormats="1" applyPatternFormats="1" applyAlignmentFormats="0" applyWidthHeightFormats="0"/>
</file>

<file path=xl/queryTables/queryTable207.xml><?xml version="1.0" encoding="utf-8"?>
<queryTable xmlns="http://schemas.openxmlformats.org/spreadsheetml/2006/main" name="magie-interactive-et-jeux-divers-no174_138" preserveFormatting="0" connectionId="46" autoFormatId="16" applyNumberFormats="0" applyBorderFormats="0" applyFontFormats="1" applyPatternFormats="1" applyAlignmentFormats="0" applyWidthHeightFormats="0"/>
</file>

<file path=xl/queryTables/queryTable208.xml><?xml version="1.0" encoding="utf-8"?>
<queryTable xmlns="http://schemas.openxmlformats.org/spreadsheetml/2006/main" name="magie-interactive-et-jeux-divers-no174_30" preserveFormatting="0" connectionId="225" autoFormatId="16" applyNumberFormats="0" applyBorderFormats="0" applyFontFormats="1" applyPatternFormats="1" applyAlignmentFormats="0" applyWidthHeightFormats="0"/>
</file>

<file path=xl/queryTables/queryTable209.xml><?xml version="1.0" encoding="utf-8"?>
<queryTable xmlns="http://schemas.openxmlformats.org/spreadsheetml/2006/main" name="magie-interactive-et-jeux-divers-no174_165" preserveFormatting="0" connectionId="76" autoFormatId="16" applyNumberFormats="0" applyBorderFormats="0" applyFontFormats="1" applyPatternFormats="1" applyAlignmentFormats="0" applyWidthHeightFormats="0"/>
</file>

<file path=xl/queryTables/queryTable210.xml><?xml version="1.0" encoding="utf-8"?>
<queryTable xmlns="http://schemas.openxmlformats.org/spreadsheetml/2006/main" name="magie-interactive-et-jeux-divers-no174_3" preserveFormatting="0" connectionId="224" autoFormatId="16" applyNumberFormats="0" applyBorderFormats="0" applyFontFormats="1" applyPatternFormats="1" applyAlignmentFormats="0" applyWidthHeightFormats="0"/>
</file>

<file path=xl/queryTables/queryTable211.xml><?xml version="1.0" encoding="utf-8"?>
<queryTable xmlns="http://schemas.openxmlformats.org/spreadsheetml/2006/main" name="magie-interactive-et-jeux-divers-no174_107" preserveFormatting="0" connectionId="11" autoFormatId="16" applyNumberFormats="0" applyBorderFormats="0" applyFontFormats="1" applyPatternFormats="1" applyAlignmentFormats="0" applyWidthHeightFormats="0"/>
</file>

<file path=xl/queryTables/queryTable212.xml><?xml version="1.0" encoding="utf-8"?>
<queryTable xmlns="http://schemas.openxmlformats.org/spreadsheetml/2006/main" name="magie-interactive-et-jeux-divers-no174_292" preserveFormatting="0" connectionId="218" autoFormatId="16" applyNumberFormats="0" applyBorderFormats="0" applyFontFormats="1" applyPatternFormats="1" applyAlignmentFormats="0" applyWidthHeightFormats="0"/>
</file>

<file path=xl/queryTables/queryTable213.xml><?xml version="1.0" encoding="utf-8"?>
<queryTable xmlns="http://schemas.openxmlformats.org/spreadsheetml/2006/main" name="magie-interactive-et-jeux-divers-no174_113" preserveFormatting="0" connectionId="19" autoFormatId="16" applyNumberFormats="0" applyBorderFormats="0" applyFontFormats="1" applyPatternFormats="1" applyAlignmentFormats="0" applyWidthHeightFormats="0"/>
</file>

<file path=xl/queryTables/queryTable214.xml><?xml version="1.0" encoding="utf-8"?>
<queryTable xmlns="http://schemas.openxmlformats.org/spreadsheetml/2006/main" name="magie-interactive-et-jeux-divers-no174_91" preserveFormatting="0" connectionId="303" autoFormatId="16" applyNumberFormats="0" applyBorderFormats="0" applyFontFormats="1" applyPatternFormats="1" applyAlignmentFormats="0" applyWidthHeightFormats="0"/>
</file>

<file path=xl/queryTables/queryTable215.xml><?xml version="1.0" encoding="utf-8"?>
<queryTable xmlns="http://schemas.openxmlformats.org/spreadsheetml/2006/main" name="magie-interactive-et-jeux-divers-no174_178" preserveFormatting="0" connectionId="90" autoFormatId="16" applyNumberFormats="0" applyBorderFormats="0" applyFontFormats="1" applyPatternFormats="1" applyAlignmentFormats="0" applyWidthHeightFormats="0"/>
</file>

<file path=xl/queryTables/queryTable216.xml><?xml version="1.0" encoding="utf-8"?>
<queryTable xmlns="http://schemas.openxmlformats.org/spreadsheetml/2006/main" name="magie-interactive-et-jeux-divers-no174_117" preserveFormatting="0" connectionId="23" autoFormatId="16" applyNumberFormats="0" applyBorderFormats="0" applyFontFormats="1" applyPatternFormats="1" applyAlignmentFormats="0" applyWidthHeightFormats="0"/>
</file>

<file path=xl/queryTables/queryTable217.xml><?xml version="1.0" encoding="utf-8"?>
<queryTable xmlns="http://schemas.openxmlformats.org/spreadsheetml/2006/main" name="magie-interactive-et-jeux-divers-no174_249" preserveFormatting="0" connectionId="170" autoFormatId="16" applyNumberFormats="0" applyBorderFormats="0" applyFontFormats="1" applyPatternFormats="1" applyAlignmentFormats="0" applyWidthHeightFormats="0"/>
</file>

<file path=xl/queryTables/queryTable218.xml><?xml version="1.0" encoding="utf-8"?>
<queryTable xmlns="http://schemas.openxmlformats.org/spreadsheetml/2006/main" name="magie-interactive-et-jeux-divers-no174_144" preserveFormatting="0" connectionId="53" autoFormatId="16" applyNumberFormats="0" applyBorderFormats="0" applyFontFormats="1" applyPatternFormats="1" applyAlignmentFormats="0" applyWidthHeightFormats="0"/>
</file>

<file path=xl/queryTables/queryTable219.xml><?xml version="1.0" encoding="utf-8"?>
<queryTable xmlns="http://schemas.openxmlformats.org/spreadsheetml/2006/main" name="magie-interactive-et-jeux-divers-no174_17" preserveFormatting="0" connectionId="80" autoFormatId="16" applyNumberFormats="0" applyBorderFormats="0" applyFontFormats="1" applyPatternFormats="1" applyAlignmentFormats="0" applyWidthHeightFormats="0"/>
</file>

<file path=xl/queryTables/queryTable220.xml><?xml version="1.0" encoding="utf-8"?>
<queryTable xmlns="http://schemas.openxmlformats.org/spreadsheetml/2006/main" name="magie-interactive-et-jeux-divers-no174_270" preserveFormatting="0" connectionId="193" autoFormatId="16" applyNumberFormats="0" applyBorderFormats="0" applyFontFormats="1" applyPatternFormats="1" applyAlignmentFormats="0" applyWidthHeightFormats="0"/>
</file>

<file path=xl/queryTables/queryTable221.xml><?xml version="1.0" encoding="utf-8"?>
<queryTable xmlns="http://schemas.openxmlformats.org/spreadsheetml/2006/main" name="magie-interactive-et-jeux-divers-no174_234" preserveFormatting="0" connectionId="153" autoFormatId="16" applyNumberFormats="0" applyBorderFormats="0" applyFontFormats="1" applyPatternFormats="1" applyAlignmentFormats="0" applyWidthHeightFormats="0"/>
</file>

<file path=xl/queryTables/queryTable222.xml><?xml version="1.0" encoding="utf-8"?>
<queryTable xmlns="http://schemas.openxmlformats.org/spreadsheetml/2006/main" name="magie-interactive-et-jeux-divers-no174_145" preserveFormatting="0" connectionId="54" autoFormatId="16" applyNumberFormats="0" applyBorderFormats="0" applyFontFormats="1" applyPatternFormats="1" applyAlignmentFormats="0" applyWidthHeightFormats="0"/>
</file>

<file path=xl/queryTables/queryTable223.xml><?xml version="1.0" encoding="utf-8"?>
<queryTable xmlns="http://schemas.openxmlformats.org/spreadsheetml/2006/main" name="magie-interactive-et-jeux-divers-no174_92" preserveFormatting="0" connectionId="304" autoFormatId="16" applyNumberFormats="0" applyBorderFormats="0" applyFontFormats="1" applyPatternFormats="1" applyAlignmentFormats="0" applyWidthHeightFormats="0"/>
</file>

<file path=xl/queryTables/queryTable224.xml><?xml version="1.0" encoding="utf-8"?>
<queryTable xmlns="http://schemas.openxmlformats.org/spreadsheetml/2006/main" name="magie-interactive-et-jeux-divers-no174_34" preserveFormatting="0" connectionId="240" autoFormatId="16" applyNumberFormats="0" applyBorderFormats="0" applyFontFormats="1" applyPatternFormats="1" applyAlignmentFormats="0" applyWidthHeightFormats="0"/>
</file>

<file path=xl/queryTables/queryTable225.xml><?xml version="1.0" encoding="utf-8"?>
<queryTable xmlns="http://schemas.openxmlformats.org/spreadsheetml/2006/main" name="magie-interactive-et-jeux-divers-no174_37" preserveFormatting="0" connectionId="243" autoFormatId="16" applyNumberFormats="0" applyBorderFormats="0" applyFontFormats="1" applyPatternFormats="1" applyAlignmentFormats="0" applyWidthHeightFormats="0"/>
</file>

<file path=xl/queryTables/queryTable226.xml><?xml version="1.0" encoding="utf-8"?>
<queryTable xmlns="http://schemas.openxmlformats.org/spreadsheetml/2006/main" name="magie-interactive-et-jeux-divers-no174_201" preserveFormatting="0" connectionId="117" autoFormatId="16" applyNumberFormats="0" applyBorderFormats="0" applyFontFormats="1" applyPatternFormats="1" applyAlignmentFormats="0" applyWidthHeightFormats="0"/>
</file>

<file path=xl/queryTables/queryTable227.xml><?xml version="1.0" encoding="utf-8"?>
<queryTable xmlns="http://schemas.openxmlformats.org/spreadsheetml/2006/main" name="magie-interactive-et-jeux-divers-no174_44" preserveFormatting="0" connectionId="251" autoFormatId="16" applyNumberFormats="0" applyBorderFormats="0" applyFontFormats="1" applyPatternFormats="1" applyAlignmentFormats="0" applyWidthHeightFormats="0"/>
</file>

<file path=xl/queryTables/queryTable228.xml><?xml version="1.0" encoding="utf-8"?>
<queryTable xmlns="http://schemas.openxmlformats.org/spreadsheetml/2006/main" name="magie-interactive-et-jeux-divers-no174_67" preserveFormatting="0" connectionId="276" autoFormatId="16" applyNumberFormats="0" applyBorderFormats="0" applyFontFormats="1" applyPatternFormats="1" applyAlignmentFormats="0" applyWidthHeightFormats="0"/>
</file>

<file path=xl/queryTables/queryTable229.xml><?xml version="1.0" encoding="utf-8"?>
<queryTable xmlns="http://schemas.openxmlformats.org/spreadsheetml/2006/main" name="magie-interactive-et-jeux-divers-no174_217" preserveFormatting="0" connectionId="134" autoFormatId="16" applyNumberFormats="0" applyBorderFormats="0" applyFontFormats="1" applyPatternFormats="1" applyAlignmentFormats="0" applyWidthHeightFormats="0"/>
</file>

<file path=xl/queryTables/queryTable230.xml><?xml version="1.0" encoding="utf-8"?>
<queryTable xmlns="http://schemas.openxmlformats.org/spreadsheetml/2006/main" name="magie-interactive-et-jeux-divers-no174_182" preserveFormatting="0" connectionId="95" autoFormatId="16" applyNumberFormats="0" applyBorderFormats="0" applyFontFormats="1" applyPatternFormats="1" applyAlignmentFormats="0" applyWidthHeightFormats="0"/>
</file>

<file path=xl/queryTables/queryTable231.xml><?xml version="1.0" encoding="utf-8"?>
<queryTable xmlns="http://schemas.openxmlformats.org/spreadsheetml/2006/main" name="magie-interactive-et-jeux-divers-no174_281" preserveFormatting="0" connectionId="206" autoFormatId="16" applyNumberFormats="0" applyBorderFormats="0" applyFontFormats="1" applyPatternFormats="1" applyAlignmentFormats="0" applyWidthHeightFormats="0"/>
</file>

<file path=xl/queryTables/queryTable232.xml><?xml version="1.0" encoding="utf-8"?>
<queryTable xmlns="http://schemas.openxmlformats.org/spreadsheetml/2006/main" name="magie-interactive-et-jeux-divers-no174_220" preserveFormatting="0" connectionId="138" autoFormatId="16" applyNumberFormats="0" applyBorderFormats="0" applyFontFormats="1" applyPatternFormats="1" applyAlignmentFormats="0" applyWidthHeightFormats="0"/>
</file>

<file path=xl/queryTables/queryTable233.xml><?xml version="1.0" encoding="utf-8"?>
<queryTable xmlns="http://schemas.openxmlformats.org/spreadsheetml/2006/main" name="magie-interactive-et-jeux-divers-no174_9" preserveFormatting="0" connectionId="301" autoFormatId="16" applyNumberFormats="0" applyBorderFormats="0" applyFontFormats="1" applyPatternFormats="1" applyAlignmentFormats="0" applyWidthHeightFormats="0"/>
</file>

<file path=xl/queryTables/queryTable234.xml><?xml version="1.0" encoding="utf-8"?>
<queryTable xmlns="http://schemas.openxmlformats.org/spreadsheetml/2006/main" name="magie-interactive-et-jeux-divers-no174_216" preserveFormatting="0" connectionId="133" autoFormatId="16" applyNumberFormats="0" applyBorderFormats="0" applyFontFormats="1" applyPatternFormats="1" applyAlignmentFormats="0" applyWidthHeightFormats="0"/>
</file>

<file path=xl/queryTables/queryTable235.xml><?xml version="1.0" encoding="utf-8"?>
<queryTable xmlns="http://schemas.openxmlformats.org/spreadsheetml/2006/main" name="magie-interactive-et-jeux-divers-no174_196" preserveFormatting="0" connectionId="110" autoFormatId="16" applyNumberFormats="0" applyBorderFormats="0" applyFontFormats="1" applyPatternFormats="1" applyAlignmentFormats="0" applyWidthHeightFormats="0"/>
</file>

<file path=xl/queryTables/queryTable236.xml><?xml version="1.0" encoding="utf-8"?>
<queryTable xmlns="http://schemas.openxmlformats.org/spreadsheetml/2006/main" name="magie-interactive-et-jeux-divers-no174_2" preserveFormatting="0" connectionId="113" autoFormatId="16" applyNumberFormats="0" applyBorderFormats="0" applyFontFormats="1" applyPatternFormats="1" applyAlignmentFormats="0" applyWidthHeightFormats="0"/>
</file>

<file path=xl/queryTables/queryTable237.xml><?xml version="1.0" encoding="utf-8"?>
<queryTable xmlns="http://schemas.openxmlformats.org/spreadsheetml/2006/main" name="magie-interactive-et-jeux-divers-no174_29" preserveFormatting="0" connectionId="213" autoFormatId="16" applyNumberFormats="0" applyBorderFormats="0" applyFontFormats="1" applyPatternFormats="1" applyAlignmentFormats="0" applyWidthHeightFormats="0"/>
</file>

<file path=xl/queryTables/queryTable238.xml><?xml version="1.0" encoding="utf-8"?>
<queryTable xmlns="http://schemas.openxmlformats.org/spreadsheetml/2006/main" name="magie-interactive-et-jeux-divers-no174_265" preserveFormatting="0" connectionId="187" autoFormatId="16" applyNumberFormats="0" applyBorderFormats="0" applyFontFormats="1" applyPatternFormats="1" applyAlignmentFormats="0" applyWidthHeightFormats="0"/>
</file>

<file path=xl/queryTables/queryTable239.xml><?xml version="1.0" encoding="utf-8"?>
<queryTable xmlns="http://schemas.openxmlformats.org/spreadsheetml/2006/main" name="magie-interactive-et-jeux-divers-no174_224" preserveFormatting="0" connectionId="142" autoFormatId="16" applyNumberFormats="0" applyBorderFormats="0" applyFontFormats="1" applyPatternFormats="1" applyAlignmentFormats="0" applyWidthHeightFormats="0"/>
</file>

<file path=xl/queryTables/queryTable240.xml><?xml version="1.0" encoding="utf-8"?>
<queryTable xmlns="http://schemas.openxmlformats.org/spreadsheetml/2006/main" name="magie-interactive-et-jeux-divers-no174_31" preserveFormatting="0" connectionId="236" autoFormatId="16" applyNumberFormats="0" applyBorderFormats="0" applyFontFormats="1" applyPatternFormats="1" applyAlignmentFormats="0" applyWidthHeightFormats="0"/>
</file>

<file path=xl/queryTables/queryTable241.xml><?xml version="1.0" encoding="utf-8"?>
<queryTable xmlns="http://schemas.openxmlformats.org/spreadsheetml/2006/main" name="magie-interactive-et-jeux-divers-no174_204" preserveFormatting="0" connectionId="120" autoFormatId="16" applyNumberFormats="0" applyBorderFormats="0" applyFontFormats="1" applyPatternFormats="1" applyAlignmentFormats="0" applyWidthHeightFormats="0"/>
</file>

<file path=xl/queryTables/queryTable242.xml><?xml version="1.0" encoding="utf-8"?>
<queryTable xmlns="http://schemas.openxmlformats.org/spreadsheetml/2006/main" name="magie-interactive-et-jeux-divers-no174_94" preserveFormatting="0" connectionId="306" autoFormatId="16" applyNumberFormats="0" applyBorderFormats="0" applyFontFormats="1" applyPatternFormats="1" applyAlignmentFormats="0" applyWidthHeightFormats="0"/>
</file>

<file path=xl/queryTables/queryTable243.xml><?xml version="1.0" encoding="utf-8"?>
<queryTable xmlns="http://schemas.openxmlformats.org/spreadsheetml/2006/main" name="magie-interactive-et-jeux-divers-no174_12" preserveFormatting="0" connectionId="25" autoFormatId="16" applyNumberFormats="0" applyBorderFormats="0" applyFontFormats="1" applyPatternFormats="1" applyAlignmentFormats="0" applyWidthHeightFormats="0"/>
</file>

<file path=xl/queryTables/queryTable244.xml><?xml version="1.0" encoding="utf-8"?>
<queryTable xmlns="http://schemas.openxmlformats.org/spreadsheetml/2006/main" name="magie-interactive-et-jeux-divers-no174_108" preserveFormatting="0" connectionId="12" autoFormatId="16" applyNumberFormats="0" applyBorderFormats="0" applyFontFormats="1" applyPatternFormats="1" applyAlignmentFormats="0" applyWidthHeightFormats="0"/>
</file>

<file path=xl/queryTables/queryTable245.xml><?xml version="1.0" encoding="utf-8"?>
<queryTable xmlns="http://schemas.openxmlformats.org/spreadsheetml/2006/main" name="magie-interactive-et-jeux-divers-no174_164" preserveFormatting="0" connectionId="75" autoFormatId="16" applyNumberFormats="0" applyBorderFormats="0" applyFontFormats="1" applyPatternFormats="1" applyAlignmentFormats="0" applyWidthHeightFormats="0"/>
</file>

<file path=xl/queryTables/queryTable246.xml><?xml version="1.0" encoding="utf-8"?>
<queryTable xmlns="http://schemas.openxmlformats.org/spreadsheetml/2006/main" name="magie-interactive-et-jeux-divers-no174_157" preserveFormatting="0" connectionId="67" autoFormatId="16" applyNumberFormats="0" applyBorderFormats="0" applyFontFormats="1" applyPatternFormats="1" applyAlignmentFormats="0" applyWidthHeightFormats="0"/>
</file>

<file path=xl/queryTables/queryTable247.xml><?xml version="1.0" encoding="utf-8"?>
<queryTable xmlns="http://schemas.openxmlformats.org/spreadsheetml/2006/main" name="magie-interactive-et-jeux-divers-no174_152" preserveFormatting="0" connectionId="62" autoFormatId="16" applyNumberFormats="0" applyBorderFormats="0" applyFontFormats="1" applyPatternFormats="1" applyAlignmentFormats="0" applyWidthHeightFormats="0"/>
</file>

<file path=xl/queryTables/queryTable248.xml><?xml version="1.0" encoding="utf-8"?>
<queryTable xmlns="http://schemas.openxmlformats.org/spreadsheetml/2006/main" name="magie-interactive-et-jeux-divers-no174_22" preserveFormatting="0" connectionId="136" autoFormatId="16" applyNumberFormats="0" applyBorderFormats="0" applyFontFormats="1" applyPatternFormats="1" applyAlignmentFormats="0" applyWidthHeightFormats="0"/>
</file>

<file path=xl/queryTables/queryTable249.xml><?xml version="1.0" encoding="utf-8"?>
<queryTable xmlns="http://schemas.openxmlformats.org/spreadsheetml/2006/main" name="magie-interactive-et-jeux-divers-no174_254" preserveFormatting="0" connectionId="175" autoFormatId="16" applyNumberFormats="0" applyBorderFormats="0" applyFontFormats="1" applyPatternFormats="1" applyAlignmentFormats="0" applyWidthHeightFormats="0"/>
</file>

<file path=xl/queryTables/queryTable250.xml><?xml version="1.0" encoding="utf-8"?>
<queryTable xmlns="http://schemas.openxmlformats.org/spreadsheetml/2006/main" name="magie-interactive-et-jeux-divers-no174_233" preserveFormatting="0" connectionId="152" autoFormatId="16" applyNumberFormats="0" applyBorderFormats="0" applyFontFormats="1" applyPatternFormats="1" applyAlignmentFormats="0" applyWidthHeightFormats="0"/>
</file>

<file path=xl/queryTables/queryTable251.xml><?xml version="1.0" encoding="utf-8"?>
<queryTable xmlns="http://schemas.openxmlformats.org/spreadsheetml/2006/main" name="magie-interactive-et-jeux-divers-no174_35" preserveFormatting="0" connectionId="241" autoFormatId="16" applyNumberFormats="0" applyBorderFormats="0" applyFontFormats="1" applyPatternFormats="1" applyAlignmentFormats="0" applyWidthHeightFormats="0"/>
</file>

<file path=xl/queryTables/queryTable252.xml><?xml version="1.0" encoding="utf-8"?>
<queryTable xmlns="http://schemas.openxmlformats.org/spreadsheetml/2006/main" name="magie-interactive-et-jeux-divers-no174_40" preserveFormatting="0" connectionId="247" autoFormatId="16" applyNumberFormats="0" applyBorderFormats="0" applyFontFormats="1" applyPatternFormats="1" applyAlignmentFormats="0" applyWidthHeightFormats="0"/>
</file>

<file path=xl/queryTables/queryTable253.xml><?xml version="1.0" encoding="utf-8"?>
<queryTable xmlns="http://schemas.openxmlformats.org/spreadsheetml/2006/main" name="magie-interactive-et-jeux-divers-no174_116" preserveFormatting="0" connectionId="22" autoFormatId="16" applyNumberFormats="0" applyBorderFormats="0" applyFontFormats="1" applyPatternFormats="1" applyAlignmentFormats="0" applyWidthHeightFormats="0"/>
</file>

<file path=xl/queryTables/queryTable254.xml><?xml version="1.0" encoding="utf-8"?>
<queryTable xmlns="http://schemas.openxmlformats.org/spreadsheetml/2006/main" name="magie-interactive-et-jeux-divers-no174_190" preserveFormatting="0" connectionId="104" autoFormatId="16" applyNumberFormats="0" applyBorderFormats="0" applyFontFormats="1" applyPatternFormats="1" applyAlignmentFormats="0" applyWidthHeightFormats="0"/>
</file>

<file path=xl/queryTables/queryTable255.xml><?xml version="1.0" encoding="utf-8"?>
<queryTable xmlns="http://schemas.openxmlformats.org/spreadsheetml/2006/main" name="magie-interactive-et-jeux-divers-no174_64" preserveFormatting="0" connectionId="273" autoFormatId="16" applyNumberFormats="0" applyBorderFormats="0" applyFontFormats="1" applyPatternFormats="1" applyAlignmentFormats="0" applyWidthHeightFormats="0"/>
</file>

<file path=xl/queryTables/queryTable256.xml><?xml version="1.0" encoding="utf-8"?>
<queryTable xmlns="http://schemas.openxmlformats.org/spreadsheetml/2006/main" name="magie-interactive-et-jeux-divers-no174_253" preserveFormatting="0" connectionId="174" autoFormatId="16" applyNumberFormats="0" applyBorderFormats="0" applyFontFormats="1" applyPatternFormats="1" applyAlignmentFormats="0" applyWidthHeightFormats="0"/>
</file>

<file path=xl/queryTables/queryTable257.xml><?xml version="1.0" encoding="utf-8"?>
<queryTable xmlns="http://schemas.openxmlformats.org/spreadsheetml/2006/main" name="magie-interactive-et-jeux-divers-no174_121" preserveFormatting="0" connectionId="28" autoFormatId="16" applyNumberFormats="0" applyBorderFormats="0" applyFontFormats="1" applyPatternFormats="1" applyAlignmentFormats="0" applyWidthHeightFormats="0"/>
</file>

<file path=xl/queryTables/queryTable258.xml><?xml version="1.0" encoding="utf-8"?>
<queryTable xmlns="http://schemas.openxmlformats.org/spreadsheetml/2006/main" name="magie-interactive-et-jeux-divers-no174_61" preserveFormatting="0" connectionId="270" autoFormatId="16" applyNumberFormats="0" applyBorderFormats="0" applyFontFormats="1" applyPatternFormats="1" applyAlignmentFormats="0" applyWidthHeightFormats="0"/>
</file>

<file path=xl/queryTables/queryTable259.xml><?xml version="1.0" encoding="utf-8"?>
<queryTable xmlns="http://schemas.openxmlformats.org/spreadsheetml/2006/main" name="magie-interactive-et-jeux-divers-no174_191" preserveFormatting="0" connectionId="105" autoFormatId="16" applyNumberFormats="0" applyBorderFormats="0" applyFontFormats="1" applyPatternFormats="1" applyAlignmentFormats="0" applyWidthHeightFormats="0"/>
</file>

<file path=xl/queryTables/queryTable260.xml><?xml version="1.0" encoding="utf-8"?>
<queryTable xmlns="http://schemas.openxmlformats.org/spreadsheetml/2006/main" name="magie-interactive-et-jeux-divers-no174_205" preserveFormatting="0" connectionId="121" autoFormatId="16" applyNumberFormats="0" applyBorderFormats="0" applyFontFormats="1" applyPatternFormats="1" applyAlignmentFormats="0" applyWidthHeightFormats="0"/>
</file>

<file path=xl/queryTables/queryTable261.xml><?xml version="1.0" encoding="utf-8"?>
<queryTable xmlns="http://schemas.openxmlformats.org/spreadsheetml/2006/main" name="magie-interactive-et-jeux-divers-no174_197" preserveFormatting="0" connectionId="111" autoFormatId="16" applyNumberFormats="0" applyBorderFormats="0" applyFontFormats="1" applyPatternFormats="1" applyAlignmentFormats="0" applyWidthHeightFormats="0"/>
</file>

<file path=xl/queryTables/queryTable262.xml><?xml version="1.0" encoding="utf-8"?>
<queryTable xmlns="http://schemas.openxmlformats.org/spreadsheetml/2006/main" name="magie-interactive-et-jeux-divers-no174_133" preserveFormatting="0" connectionId="41" autoFormatId="16" applyNumberFormats="0" applyBorderFormats="0" applyFontFormats="1" applyPatternFormats="1" applyAlignmentFormats="0" applyWidthHeightFormats="0"/>
</file>

<file path=xl/queryTables/queryTable263.xml><?xml version="1.0" encoding="utf-8"?>
<queryTable xmlns="http://schemas.openxmlformats.org/spreadsheetml/2006/main" name="magie-interactive-et-jeux-divers-no174_215" preserveFormatting="0" connectionId="132" autoFormatId="16" applyNumberFormats="0" applyBorderFormats="0" applyFontFormats="1" applyPatternFormats="1" applyAlignmentFormats="0" applyWidthHeightFormats="0"/>
</file>

<file path=xl/queryTables/queryTable264.xml><?xml version="1.0" encoding="utf-8"?>
<queryTable xmlns="http://schemas.openxmlformats.org/spreadsheetml/2006/main" name="magie-interactive-et-jeux-divers-no174_244" preserveFormatting="0" connectionId="164" autoFormatId="16" applyNumberFormats="0" applyBorderFormats="0" applyFontFormats="1" applyPatternFormats="1" applyAlignmentFormats="0" applyWidthHeightFormats="0"/>
</file>

<file path=xl/queryTables/queryTable265.xml><?xml version="1.0" encoding="utf-8"?>
<queryTable xmlns="http://schemas.openxmlformats.org/spreadsheetml/2006/main" name="magie-interactive-et-jeux-divers-no174_110" preserveFormatting="0" connectionId="15" autoFormatId="16" applyNumberFormats="0" applyBorderFormats="0" applyFontFormats="1" applyPatternFormats="1" applyAlignmentFormats="0" applyWidthHeightFormats="0"/>
</file>

<file path=xl/queryTables/queryTable266.xml><?xml version="1.0" encoding="utf-8"?>
<queryTable xmlns="http://schemas.openxmlformats.org/spreadsheetml/2006/main" name="magie-interactive-et-jeux-divers-no174_130" preserveFormatting="0" connectionId="38" autoFormatId="16" applyNumberFormats="0" applyBorderFormats="0" applyFontFormats="1" applyPatternFormats="1" applyAlignmentFormats="0" applyWidthHeightFormats="0"/>
</file>

<file path=xl/queryTables/queryTable267.xml><?xml version="1.0" encoding="utf-8"?>
<queryTable xmlns="http://schemas.openxmlformats.org/spreadsheetml/2006/main" name="magie-interactive-et-jeux-divers-no174_134" preserveFormatting="0" connectionId="42" autoFormatId="16" applyNumberFormats="0" applyBorderFormats="0" applyFontFormats="1" applyPatternFormats="1" applyAlignmentFormats="0" applyWidthHeightFormats="0"/>
</file>

<file path=xl/queryTables/queryTable268.xml><?xml version="1.0" encoding="utf-8"?>
<queryTable xmlns="http://schemas.openxmlformats.org/spreadsheetml/2006/main" name="magie-interactive-et-jeux-divers-no174_282" preserveFormatting="0" connectionId="207" autoFormatId="16" applyNumberFormats="0" applyBorderFormats="0" applyFontFormats="1" applyPatternFormats="1" applyAlignmentFormats="0" applyWidthHeightFormats="0"/>
</file>

<file path=xl/queryTables/queryTable269.xml><?xml version="1.0" encoding="utf-8"?>
<queryTable xmlns="http://schemas.openxmlformats.org/spreadsheetml/2006/main" name="magie-interactive-et-jeux-divers-no174_51" preserveFormatting="0" connectionId="259" autoFormatId="16" applyNumberFormats="0" applyBorderFormats="0" applyFontFormats="1" applyPatternFormats="1" applyAlignmentFormats="0" applyWidthHeightFormats="0"/>
</file>

<file path=xl/queryTables/queryTable270.xml><?xml version="1.0" encoding="utf-8"?>
<queryTable xmlns="http://schemas.openxmlformats.org/spreadsheetml/2006/main" name="magie-interactive-et-jeux-divers-no174_42" preserveFormatting="0" connectionId="249" autoFormatId="16" applyNumberFormats="0" applyBorderFormats="0" applyFontFormats="1" applyPatternFormats="1" applyAlignmentFormats="0" applyWidthHeightFormats="0"/>
</file>

<file path=xl/queryTables/queryTable271.xml><?xml version="1.0" encoding="utf-8"?>
<queryTable xmlns="http://schemas.openxmlformats.org/spreadsheetml/2006/main" name="magie-interactive-et-jeux-divers-no174_104" preserveFormatting="0" connectionId="8" autoFormatId="16" applyNumberFormats="0" applyBorderFormats="0" applyFontFormats="1" applyPatternFormats="1" applyAlignmentFormats="0" applyWidthHeightFormats="0"/>
</file>

<file path=xl/queryTables/queryTable272.xml><?xml version="1.0" encoding="utf-8"?>
<queryTable xmlns="http://schemas.openxmlformats.org/spreadsheetml/2006/main" name="magie-interactive-et-jeux-divers-no174_277" preserveFormatting="0" connectionId="200" autoFormatId="16" applyNumberFormats="0" applyBorderFormats="0" applyFontFormats="1" applyPatternFormats="1" applyAlignmentFormats="0" applyWidthHeightFormats="0"/>
</file>

<file path=xl/queryTables/queryTable273.xml><?xml version="1.0" encoding="utf-8"?>
<queryTable xmlns="http://schemas.openxmlformats.org/spreadsheetml/2006/main" name="magie-interactive-et-jeux-divers-no174_305" preserveFormatting="0" connectionId="233" autoFormatId="16" applyNumberFormats="0" applyBorderFormats="0" applyFontFormats="1" applyPatternFormats="1" applyAlignmentFormats="0" applyWidthHeightFormats="0"/>
</file>

<file path=xl/queryTables/queryTable274.xml><?xml version="1.0" encoding="utf-8"?>
<queryTable xmlns="http://schemas.openxmlformats.org/spreadsheetml/2006/main" name="magie-interactive-et-jeux-divers-no174_6" preserveFormatting="0" connectionId="268" autoFormatId="16" applyNumberFormats="0" applyBorderFormats="0" applyFontFormats="1" applyPatternFormats="1" applyAlignmentFormats="0" applyWidthHeightFormats="0"/>
</file>

<file path=xl/queryTables/queryTable275.xml><?xml version="1.0" encoding="utf-8"?>
<queryTable xmlns="http://schemas.openxmlformats.org/spreadsheetml/2006/main" name="magie-interactive-et-jeux-divers-no174_58" preserveFormatting="0" connectionId="266" autoFormatId="16" applyNumberFormats="0" applyBorderFormats="0" applyFontFormats="1" applyPatternFormats="1" applyAlignmentFormats="0" applyWidthHeightFormats="0"/>
</file>

<file path=xl/queryTables/queryTable276.xml><?xml version="1.0" encoding="utf-8"?>
<queryTable xmlns="http://schemas.openxmlformats.org/spreadsheetml/2006/main" name="magie-interactive-et-jeux-divers-no174_19" preserveFormatting="0" connectionId="102" autoFormatId="16" applyNumberFormats="0" applyBorderFormats="0" applyFontFormats="1" applyPatternFormats="1" applyAlignmentFormats="0" applyWidthHeightFormats="0"/>
</file>

<file path=xl/queryTables/queryTable277.xml><?xml version="1.0" encoding="utf-8"?>
<queryTable xmlns="http://schemas.openxmlformats.org/spreadsheetml/2006/main" name="magie-interactive-et-jeux-divers-no174_232" preserveFormatting="0" connectionId="151" autoFormatId="16" applyNumberFormats="0" applyBorderFormats="0" applyFontFormats="1" applyPatternFormats="1" applyAlignmentFormats="0" applyWidthHeightFormats="0"/>
</file>

<file path=xl/queryTables/queryTable278.xml><?xml version="1.0" encoding="utf-8"?>
<queryTable xmlns="http://schemas.openxmlformats.org/spreadsheetml/2006/main" name="magie-interactive-et-jeux-divers-no174_275" preserveFormatting="0" connectionId="198" autoFormatId="16" applyNumberFormats="0" applyBorderFormats="0" applyFontFormats="1" applyPatternFormats="1" applyAlignmentFormats="0" applyWidthHeightFormats="0"/>
</file>

<file path=xl/queryTables/queryTable279.xml><?xml version="1.0" encoding="utf-8"?>
<queryTable xmlns="http://schemas.openxmlformats.org/spreadsheetml/2006/main" name="magie-interactive-et-jeux-divers-no174_189" preserveFormatting="0" connectionId="103" autoFormatId="16" applyNumberFormats="0" applyBorderFormats="0" applyFontFormats="1" applyPatternFormats="1" applyAlignmentFormats="0" applyWidthHeightFormats="0"/>
</file>

<file path=xl/queryTables/queryTable280.xml><?xml version="1.0" encoding="utf-8"?>
<queryTable xmlns="http://schemas.openxmlformats.org/spreadsheetml/2006/main" name="magie-interactive-et-jeux-divers-no174_181" preserveFormatting="0" connectionId="94" autoFormatId="16" applyNumberFormats="0" applyBorderFormats="0" applyFontFormats="1" applyPatternFormats="1" applyAlignmentFormats="0" applyWidthHeightFormats="0"/>
</file>

<file path=xl/queryTables/queryTable281.xml><?xml version="1.0" encoding="utf-8"?>
<queryTable xmlns="http://schemas.openxmlformats.org/spreadsheetml/2006/main" name="magie-interactive-et-jeux-divers-no174_79" preserveFormatting="0" connectionId="289" autoFormatId="16" applyNumberFormats="0" applyBorderFormats="0" applyFontFormats="1" applyPatternFormats="1" applyAlignmentFormats="0" applyWidthHeightFormats="0"/>
</file>

<file path=xl/queryTables/queryTable282.xml><?xml version="1.0" encoding="utf-8"?>
<queryTable xmlns="http://schemas.openxmlformats.org/spreadsheetml/2006/main" name="magie-interactive-et-jeux-divers-no174_177" preserveFormatting="0" connectionId="89" autoFormatId="16" applyNumberFormats="0" applyBorderFormats="0" applyFontFormats="1" applyPatternFormats="1" applyAlignmentFormats="0" applyWidthHeightFormats="0"/>
</file>

<file path=xl/queryTables/queryTable283.xml><?xml version="1.0" encoding="utf-8"?>
<queryTable xmlns="http://schemas.openxmlformats.org/spreadsheetml/2006/main" name="magie-interactive-et-jeux-divers-no174_33" preserveFormatting="0" connectionId="239" autoFormatId="16" applyNumberFormats="0" applyBorderFormats="0" applyFontFormats="1" applyPatternFormats="1" applyAlignmentFormats="0" applyWidthHeightFormats="0"/>
</file>

<file path=xl/queryTables/queryTable284.xml><?xml version="1.0" encoding="utf-8"?>
<queryTable xmlns="http://schemas.openxmlformats.org/spreadsheetml/2006/main" name="magie-interactive-et-jeux-divers-no174_296" preserveFormatting="0" connectionId="222" autoFormatId="16" applyNumberFormats="0" applyBorderFormats="0" applyFontFormats="1" applyPatternFormats="1" applyAlignmentFormats="0" applyWidthHeightFormats="0"/>
</file>

<file path=xl/queryTables/queryTable285.xml><?xml version="1.0" encoding="utf-8"?>
<queryTable xmlns="http://schemas.openxmlformats.org/spreadsheetml/2006/main" name="magie-interactive-et-jeux-divers-no174_299" preserveFormatting="0" connectionId="227" autoFormatId="16" applyNumberFormats="0" applyBorderFormats="0" applyFontFormats="1" applyPatternFormats="1" applyAlignmentFormats="0" applyWidthHeightFormats="0"/>
</file>

<file path=xl/queryTables/queryTable286.xml><?xml version="1.0" encoding="utf-8"?>
<queryTable xmlns="http://schemas.openxmlformats.org/spreadsheetml/2006/main" name="magie-interactive-et-jeux-divers-no174_227" preserveFormatting="0" connectionId="145" autoFormatId="16" applyNumberFormats="0" applyBorderFormats="0" applyFontFormats="1" applyPatternFormats="1" applyAlignmentFormats="0" applyWidthHeightFormats="0"/>
</file>

<file path=xl/queryTables/queryTable287.xml><?xml version="1.0" encoding="utf-8"?>
<queryTable xmlns="http://schemas.openxmlformats.org/spreadsheetml/2006/main" name="magie-interactive-et-jeux-divers-no174_125" preserveFormatting="0" connectionId="32" autoFormatId="16" applyNumberFormats="0" applyBorderFormats="0" applyFontFormats="1" applyPatternFormats="1" applyAlignmentFormats="0" applyWidthHeightFormats="0"/>
</file>

<file path=xl/queryTables/queryTable288.xml><?xml version="1.0" encoding="utf-8"?>
<queryTable xmlns="http://schemas.openxmlformats.org/spreadsheetml/2006/main" name="magie-interactive-et-jeux-divers-no174_136" preserveFormatting="0" connectionId="44" autoFormatId="16" applyNumberFormats="0" applyBorderFormats="0" applyFontFormats="1" applyPatternFormats="1" applyAlignmentFormats="0" applyWidthHeightFormats="0"/>
</file>

<file path=xl/queryTables/queryTable289.xml><?xml version="1.0" encoding="utf-8"?>
<queryTable xmlns="http://schemas.openxmlformats.org/spreadsheetml/2006/main" name="magie-interactive-et-jeux-divers-no174_26" preserveFormatting="0" connectionId="180" autoFormatId="16" applyNumberFormats="0" applyBorderFormats="0" applyFontFormats="1" applyPatternFormats="1" applyAlignmentFormats="0" applyWidthHeightFormats="0"/>
</file>

<file path=xl/queryTables/queryTable290.xml><?xml version="1.0" encoding="utf-8"?>
<queryTable xmlns="http://schemas.openxmlformats.org/spreadsheetml/2006/main" name="magie-interactive-et-jeux-divers-no174_301" preserveFormatting="0" connectionId="229" autoFormatId="16" applyNumberFormats="0" applyBorderFormats="0" applyFontFormats="1" applyPatternFormats="1" applyAlignmentFormats="0" applyWidthHeightFormats="0"/>
</file>

<file path=xl/queryTables/queryTable291.xml><?xml version="1.0" encoding="utf-8"?>
<queryTable xmlns="http://schemas.openxmlformats.org/spreadsheetml/2006/main" name="magie-interactive-et-jeux-divers-no174_303" preserveFormatting="0" connectionId="231" autoFormatId="16" applyNumberFormats="0" applyBorderFormats="0" applyFontFormats="1" applyPatternFormats="1" applyAlignmentFormats="0" applyWidthHeightFormats="0"/>
</file>

<file path=xl/queryTables/queryTable292.xml><?xml version="1.0" encoding="utf-8"?>
<queryTable xmlns="http://schemas.openxmlformats.org/spreadsheetml/2006/main" name="magie-interactive-et-jeux-divers-no174_28" preserveFormatting="0" connectionId="202" autoFormatId="16" applyNumberFormats="0" applyBorderFormats="0" applyFontFormats="1" applyPatternFormats="1" applyAlignmentFormats="0" applyWidthHeightFormats="0"/>
</file>

<file path=xl/queryTables/queryTable293.xml><?xml version="1.0" encoding="utf-8"?>
<queryTable xmlns="http://schemas.openxmlformats.org/spreadsheetml/2006/main" name="magie-interactive-et-jeux-divers-no174_194" preserveFormatting="0" connectionId="108" autoFormatId="16" applyNumberFormats="0" applyBorderFormats="0" applyFontFormats="1" applyPatternFormats="1" applyAlignmentFormats="0" applyWidthHeightFormats="0"/>
</file>

<file path=xl/queryTables/queryTable294.xml><?xml version="1.0" encoding="utf-8"?>
<queryTable xmlns="http://schemas.openxmlformats.org/spreadsheetml/2006/main" name="magie-interactive-et-jeux-divers-no174_55" preserveFormatting="0" connectionId="263" autoFormatId="16" applyNumberFormats="0" applyBorderFormats="0" applyFontFormats="1" applyPatternFormats="1" applyAlignmentFormats="0" applyWidthHeightFormats="0"/>
</file>

<file path=xl/queryTables/queryTable295.xml><?xml version="1.0" encoding="utf-8"?>
<queryTable xmlns="http://schemas.openxmlformats.org/spreadsheetml/2006/main" name="magie-interactive-et-jeux-divers-no174_293" preserveFormatting="0" connectionId="219" autoFormatId="16" applyNumberFormats="0" applyBorderFormats="0" applyFontFormats="1" applyPatternFormats="1" applyAlignmentFormats="0" applyWidthHeightFormats="0"/>
</file>

<file path=xl/queryTables/queryTable296.xml><?xml version="1.0" encoding="utf-8"?>
<queryTable xmlns="http://schemas.openxmlformats.org/spreadsheetml/2006/main" name="magie-interactive-et-jeux-divers-no174_10" preserveFormatting="0" connectionId="3" autoFormatId="16" applyNumberFormats="0" applyBorderFormats="0" applyFontFormats="1" applyPatternFormats="1" applyAlignmentFormats="0" applyWidthHeightFormats="0"/>
</file>

<file path=xl/queryTables/queryTable297.xml><?xml version="1.0" encoding="utf-8"?>
<queryTable xmlns="http://schemas.openxmlformats.org/spreadsheetml/2006/main" name="magie-interactive-et-jeux-divers-no174_223" preserveFormatting="0" connectionId="141" autoFormatId="16" applyNumberFormats="0" applyBorderFormats="0" applyFontFormats="1" applyPatternFormats="1" applyAlignmentFormats="0" applyWidthHeightFormats="0"/>
</file>

<file path=xl/queryTables/queryTable298.xml><?xml version="1.0" encoding="utf-8"?>
<queryTable xmlns="http://schemas.openxmlformats.org/spreadsheetml/2006/main" name="magie-interactive-et-jeux-divers-no174_101" preserveFormatting="0" connectionId="5" autoFormatId="16" applyNumberFormats="0" applyBorderFormats="0" applyFontFormats="1" applyPatternFormats="1" applyAlignmentFormats="0" applyWidthHeightFormats="0"/>
</file>

<file path=xl/queryTables/queryTable299.xml><?xml version="1.0" encoding="utf-8"?>
<queryTable xmlns="http://schemas.openxmlformats.org/spreadsheetml/2006/main" name="magie-interactive-et-jeux-divers-no174_87" preserveFormatting="0" connectionId="298" autoFormatId="16" applyNumberFormats="0" applyBorderFormats="0" applyFontFormats="1" applyPatternFormats="1" applyAlignmentFormats="0" applyWidthHeightFormats="0"/>
</file>

<file path=xl/queryTables/queryTable300.xml><?xml version="1.0" encoding="utf-8"?>
<queryTable xmlns="http://schemas.openxmlformats.org/spreadsheetml/2006/main" name="magie-interactive-et-jeux-divers-no174_123" preserveFormatting="0" connectionId="30" autoFormatId="16" applyNumberFormats="0" applyBorderFormats="0" applyFontFormats="1" applyPatternFormats="1" applyAlignmentFormats="0" applyWidthHeightFormats="0"/>
</file>

<file path=xl/queryTables/queryTable301.xml><?xml version="1.0" encoding="utf-8"?>
<queryTable xmlns="http://schemas.openxmlformats.org/spreadsheetml/2006/main" name="magie-interactive-et-jeux-divers-no174_184" preserveFormatting="0" connectionId="97" autoFormatId="16" applyNumberFormats="0" applyBorderFormats="0" applyFontFormats="1" applyPatternFormats="1" applyAlignmentFormats="0" applyWidthHeightFormats="0"/>
</file>

<file path=xl/queryTables/queryTable302.xml><?xml version="1.0" encoding="utf-8"?>
<queryTable xmlns="http://schemas.openxmlformats.org/spreadsheetml/2006/main" name="magie-interactive-et-jeux-divers-no174_100" preserveFormatting="0" connectionId="4" autoFormatId="16" applyNumberFormats="0" applyBorderFormats="0" applyFontFormats="1" applyPatternFormats="1" applyAlignmentFormats="0" applyWidthHeightFormats="0"/>
</file>

<file path=xl/queryTables/queryTable303.xml><?xml version="1.0" encoding="utf-8"?>
<queryTable xmlns="http://schemas.openxmlformats.org/spreadsheetml/2006/main" name="magie-interactive-et-jeux-divers-no174_250" preserveFormatting="0" connectionId="171" autoFormatId="16" applyNumberFormats="0" applyBorderFormats="0" applyFontFormats="1" applyPatternFormats="1" applyAlignmentFormats="0" applyWidthHeightFormats="0"/>
</file>

<file path=xl/queryTables/queryTable304.xml><?xml version="1.0" encoding="utf-8"?>
<queryTable xmlns="http://schemas.openxmlformats.org/spreadsheetml/2006/main" name="magie-interactive-et-jeux-divers-no174_173" preserveFormatting="0" connectionId="85" autoFormatId="16" applyNumberFormats="0" applyBorderFormats="0" applyFontFormats="1" applyPatternFormats="1" applyAlignmentFormats="0" applyWidthHeightFormats="0"/>
</file>

<file path=xl/queryTables/queryTable305.xml><?xml version="1.0" encoding="utf-8"?>
<queryTable xmlns="http://schemas.openxmlformats.org/spreadsheetml/2006/main" name="magie-interactive-et-jeux-divers-no174_75" preserveFormatting="0" connectionId="285"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excel-pratique.com/fr/telechargements/download.php?id=174" TargetMode="External"/><Relationship Id="rId1" Type="http://schemas.openxmlformats.org/officeDocument/2006/relationships/hyperlink" Target="http://www.excel-pratique.com/fr/telechargements/jeux/magie-interactive-et-jeux-divers-no174.php"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www.ouverture-facile.com/plug/jeu.html"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www.excel-pratique.com/fr/telechargements/auteur-408.php"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7.bin"/><Relationship Id="rId4" Type="http://schemas.openxmlformats.org/officeDocument/2006/relationships/control" Target="../activeX/activeX1.xml"/></Relationships>
</file>

<file path=xl/worksheets/_rels/sheet9.xml.rels><?xml version="1.0" encoding="UTF-8" standalone="yes"?>
<Relationships xmlns="http://schemas.openxmlformats.org/package/2006/relationships"><Relationship Id="rId117" Type="http://schemas.openxmlformats.org/officeDocument/2006/relationships/queryTable" Target="../queryTables/queryTable116.xml"/><Relationship Id="rId299" Type="http://schemas.openxmlformats.org/officeDocument/2006/relationships/queryTable" Target="../queryTables/queryTable298.xml"/><Relationship Id="rId303" Type="http://schemas.openxmlformats.org/officeDocument/2006/relationships/queryTable" Target="../queryTables/queryTable302.xml"/><Relationship Id="rId21" Type="http://schemas.openxmlformats.org/officeDocument/2006/relationships/queryTable" Target="../queryTables/queryTable20.xml"/><Relationship Id="rId42" Type="http://schemas.openxmlformats.org/officeDocument/2006/relationships/queryTable" Target="../queryTables/queryTable41.xml"/><Relationship Id="rId63" Type="http://schemas.openxmlformats.org/officeDocument/2006/relationships/queryTable" Target="../queryTables/queryTable62.xml"/><Relationship Id="rId84" Type="http://schemas.openxmlformats.org/officeDocument/2006/relationships/queryTable" Target="../queryTables/queryTable83.xml"/><Relationship Id="rId138" Type="http://schemas.openxmlformats.org/officeDocument/2006/relationships/queryTable" Target="../queryTables/queryTable137.xml"/><Relationship Id="rId159" Type="http://schemas.openxmlformats.org/officeDocument/2006/relationships/queryTable" Target="../queryTables/queryTable158.xml"/><Relationship Id="rId170" Type="http://schemas.openxmlformats.org/officeDocument/2006/relationships/queryTable" Target="../queryTables/queryTable169.xml"/><Relationship Id="rId191" Type="http://schemas.openxmlformats.org/officeDocument/2006/relationships/queryTable" Target="../queryTables/queryTable190.xml"/><Relationship Id="rId205" Type="http://schemas.openxmlformats.org/officeDocument/2006/relationships/queryTable" Target="../queryTables/queryTable204.xml"/><Relationship Id="rId226" Type="http://schemas.openxmlformats.org/officeDocument/2006/relationships/queryTable" Target="../queryTables/queryTable225.xml"/><Relationship Id="rId247" Type="http://schemas.openxmlformats.org/officeDocument/2006/relationships/queryTable" Target="../queryTables/queryTable246.xml"/><Relationship Id="rId107" Type="http://schemas.openxmlformats.org/officeDocument/2006/relationships/queryTable" Target="../queryTables/queryTable106.xml"/><Relationship Id="rId268" Type="http://schemas.openxmlformats.org/officeDocument/2006/relationships/queryTable" Target="../queryTables/queryTable267.xml"/><Relationship Id="rId289" Type="http://schemas.openxmlformats.org/officeDocument/2006/relationships/queryTable" Target="../queryTables/queryTable288.xml"/><Relationship Id="rId11" Type="http://schemas.openxmlformats.org/officeDocument/2006/relationships/queryTable" Target="../queryTables/queryTable10.xml"/><Relationship Id="rId32" Type="http://schemas.openxmlformats.org/officeDocument/2006/relationships/queryTable" Target="../queryTables/queryTable31.xml"/><Relationship Id="rId53" Type="http://schemas.openxmlformats.org/officeDocument/2006/relationships/queryTable" Target="../queryTables/queryTable52.xml"/><Relationship Id="rId74" Type="http://schemas.openxmlformats.org/officeDocument/2006/relationships/queryTable" Target="../queryTables/queryTable73.xml"/><Relationship Id="rId128" Type="http://schemas.openxmlformats.org/officeDocument/2006/relationships/queryTable" Target="../queryTables/queryTable127.xml"/><Relationship Id="rId149" Type="http://schemas.openxmlformats.org/officeDocument/2006/relationships/queryTable" Target="../queryTables/queryTable148.xml"/><Relationship Id="rId5" Type="http://schemas.openxmlformats.org/officeDocument/2006/relationships/queryTable" Target="../queryTables/queryTable4.xml"/><Relationship Id="rId95" Type="http://schemas.openxmlformats.org/officeDocument/2006/relationships/queryTable" Target="../queryTables/queryTable94.xml"/><Relationship Id="rId160" Type="http://schemas.openxmlformats.org/officeDocument/2006/relationships/queryTable" Target="../queryTables/queryTable159.xml"/><Relationship Id="rId181" Type="http://schemas.openxmlformats.org/officeDocument/2006/relationships/queryTable" Target="../queryTables/queryTable180.xml"/><Relationship Id="rId216" Type="http://schemas.openxmlformats.org/officeDocument/2006/relationships/queryTable" Target="../queryTables/queryTable215.xml"/><Relationship Id="rId237" Type="http://schemas.openxmlformats.org/officeDocument/2006/relationships/queryTable" Target="../queryTables/queryTable236.xml"/><Relationship Id="rId258" Type="http://schemas.openxmlformats.org/officeDocument/2006/relationships/queryTable" Target="../queryTables/queryTable257.xml"/><Relationship Id="rId279" Type="http://schemas.openxmlformats.org/officeDocument/2006/relationships/queryTable" Target="../queryTables/queryTable278.xml"/><Relationship Id="rId22" Type="http://schemas.openxmlformats.org/officeDocument/2006/relationships/queryTable" Target="../queryTables/queryTable21.xml"/><Relationship Id="rId43" Type="http://schemas.openxmlformats.org/officeDocument/2006/relationships/queryTable" Target="../queryTables/queryTable42.xml"/><Relationship Id="rId64" Type="http://schemas.openxmlformats.org/officeDocument/2006/relationships/queryTable" Target="../queryTables/queryTable63.xml"/><Relationship Id="rId118" Type="http://schemas.openxmlformats.org/officeDocument/2006/relationships/queryTable" Target="../queryTables/queryTable117.xml"/><Relationship Id="rId139" Type="http://schemas.openxmlformats.org/officeDocument/2006/relationships/queryTable" Target="../queryTables/queryTable138.xml"/><Relationship Id="rId290" Type="http://schemas.openxmlformats.org/officeDocument/2006/relationships/queryTable" Target="../queryTables/queryTable289.xml"/><Relationship Id="rId304" Type="http://schemas.openxmlformats.org/officeDocument/2006/relationships/queryTable" Target="../queryTables/queryTable303.xml"/><Relationship Id="rId85" Type="http://schemas.openxmlformats.org/officeDocument/2006/relationships/queryTable" Target="../queryTables/queryTable84.xml"/><Relationship Id="rId150" Type="http://schemas.openxmlformats.org/officeDocument/2006/relationships/queryTable" Target="../queryTables/queryTable149.xml"/><Relationship Id="rId171" Type="http://schemas.openxmlformats.org/officeDocument/2006/relationships/queryTable" Target="../queryTables/queryTable170.xml"/><Relationship Id="rId192" Type="http://schemas.openxmlformats.org/officeDocument/2006/relationships/queryTable" Target="../queryTables/queryTable191.xml"/><Relationship Id="rId206" Type="http://schemas.openxmlformats.org/officeDocument/2006/relationships/queryTable" Target="../queryTables/queryTable205.xml"/><Relationship Id="rId227" Type="http://schemas.openxmlformats.org/officeDocument/2006/relationships/queryTable" Target="../queryTables/queryTable226.xml"/><Relationship Id="rId248" Type="http://schemas.openxmlformats.org/officeDocument/2006/relationships/queryTable" Target="../queryTables/queryTable247.xml"/><Relationship Id="rId269" Type="http://schemas.openxmlformats.org/officeDocument/2006/relationships/queryTable" Target="../queryTables/queryTable268.xml"/><Relationship Id="rId12" Type="http://schemas.openxmlformats.org/officeDocument/2006/relationships/queryTable" Target="../queryTables/queryTable11.xml"/><Relationship Id="rId33" Type="http://schemas.openxmlformats.org/officeDocument/2006/relationships/queryTable" Target="../queryTables/queryTable32.xml"/><Relationship Id="rId108" Type="http://schemas.openxmlformats.org/officeDocument/2006/relationships/queryTable" Target="../queryTables/queryTable107.xml"/><Relationship Id="rId129" Type="http://schemas.openxmlformats.org/officeDocument/2006/relationships/queryTable" Target="../queryTables/queryTable128.xml"/><Relationship Id="rId280" Type="http://schemas.openxmlformats.org/officeDocument/2006/relationships/queryTable" Target="../queryTables/queryTable279.xml"/><Relationship Id="rId54" Type="http://schemas.openxmlformats.org/officeDocument/2006/relationships/queryTable" Target="../queryTables/queryTable53.xml"/><Relationship Id="rId75" Type="http://schemas.openxmlformats.org/officeDocument/2006/relationships/queryTable" Target="../queryTables/queryTable74.xml"/><Relationship Id="rId96" Type="http://schemas.openxmlformats.org/officeDocument/2006/relationships/queryTable" Target="../queryTables/queryTable95.xml"/><Relationship Id="rId140" Type="http://schemas.openxmlformats.org/officeDocument/2006/relationships/queryTable" Target="../queryTables/queryTable139.xml"/><Relationship Id="rId161" Type="http://schemas.openxmlformats.org/officeDocument/2006/relationships/queryTable" Target="../queryTables/queryTable160.xml"/><Relationship Id="rId182" Type="http://schemas.openxmlformats.org/officeDocument/2006/relationships/queryTable" Target="../queryTables/queryTable181.xml"/><Relationship Id="rId217" Type="http://schemas.openxmlformats.org/officeDocument/2006/relationships/queryTable" Target="../queryTables/queryTable216.xml"/><Relationship Id="rId6" Type="http://schemas.openxmlformats.org/officeDocument/2006/relationships/queryTable" Target="../queryTables/queryTable5.xml"/><Relationship Id="rId238" Type="http://schemas.openxmlformats.org/officeDocument/2006/relationships/queryTable" Target="../queryTables/queryTable237.xml"/><Relationship Id="rId259" Type="http://schemas.openxmlformats.org/officeDocument/2006/relationships/queryTable" Target="../queryTables/queryTable258.xml"/><Relationship Id="rId23" Type="http://schemas.openxmlformats.org/officeDocument/2006/relationships/queryTable" Target="../queryTables/queryTable22.xml"/><Relationship Id="rId119" Type="http://schemas.openxmlformats.org/officeDocument/2006/relationships/queryTable" Target="../queryTables/queryTable118.xml"/><Relationship Id="rId270" Type="http://schemas.openxmlformats.org/officeDocument/2006/relationships/queryTable" Target="../queryTables/queryTable269.xml"/><Relationship Id="rId291" Type="http://schemas.openxmlformats.org/officeDocument/2006/relationships/queryTable" Target="../queryTables/queryTable290.xml"/><Relationship Id="rId305" Type="http://schemas.openxmlformats.org/officeDocument/2006/relationships/queryTable" Target="../queryTables/queryTable304.xml"/><Relationship Id="rId44" Type="http://schemas.openxmlformats.org/officeDocument/2006/relationships/queryTable" Target="../queryTables/queryTable43.xml"/><Relationship Id="rId65" Type="http://schemas.openxmlformats.org/officeDocument/2006/relationships/queryTable" Target="../queryTables/queryTable64.xml"/><Relationship Id="rId86" Type="http://schemas.openxmlformats.org/officeDocument/2006/relationships/queryTable" Target="../queryTables/queryTable85.xml"/><Relationship Id="rId130" Type="http://schemas.openxmlformats.org/officeDocument/2006/relationships/queryTable" Target="../queryTables/queryTable129.xml"/><Relationship Id="rId151" Type="http://schemas.openxmlformats.org/officeDocument/2006/relationships/queryTable" Target="../queryTables/queryTable150.xml"/><Relationship Id="rId172" Type="http://schemas.openxmlformats.org/officeDocument/2006/relationships/queryTable" Target="../queryTables/queryTable171.xml"/><Relationship Id="rId193" Type="http://schemas.openxmlformats.org/officeDocument/2006/relationships/queryTable" Target="../queryTables/queryTable192.xml"/><Relationship Id="rId207" Type="http://schemas.openxmlformats.org/officeDocument/2006/relationships/queryTable" Target="../queryTables/queryTable206.xml"/><Relationship Id="rId228" Type="http://schemas.openxmlformats.org/officeDocument/2006/relationships/queryTable" Target="../queryTables/queryTable227.xml"/><Relationship Id="rId249" Type="http://schemas.openxmlformats.org/officeDocument/2006/relationships/queryTable" Target="../queryTables/queryTable248.xml"/><Relationship Id="rId13" Type="http://schemas.openxmlformats.org/officeDocument/2006/relationships/queryTable" Target="../queryTables/queryTable12.xml"/><Relationship Id="rId109" Type="http://schemas.openxmlformats.org/officeDocument/2006/relationships/queryTable" Target="../queryTables/queryTable108.xml"/><Relationship Id="rId260" Type="http://schemas.openxmlformats.org/officeDocument/2006/relationships/queryTable" Target="../queryTables/queryTable259.xml"/><Relationship Id="rId281" Type="http://schemas.openxmlformats.org/officeDocument/2006/relationships/queryTable" Target="../queryTables/queryTable280.xml"/><Relationship Id="rId34" Type="http://schemas.openxmlformats.org/officeDocument/2006/relationships/queryTable" Target="../queryTables/queryTable33.xml"/><Relationship Id="rId55" Type="http://schemas.openxmlformats.org/officeDocument/2006/relationships/queryTable" Target="../queryTables/queryTable54.xml"/><Relationship Id="rId76" Type="http://schemas.openxmlformats.org/officeDocument/2006/relationships/queryTable" Target="../queryTables/queryTable75.xml"/><Relationship Id="rId97" Type="http://schemas.openxmlformats.org/officeDocument/2006/relationships/queryTable" Target="../queryTables/queryTable96.xml"/><Relationship Id="rId120" Type="http://schemas.openxmlformats.org/officeDocument/2006/relationships/queryTable" Target="../queryTables/queryTable119.xml"/><Relationship Id="rId141" Type="http://schemas.openxmlformats.org/officeDocument/2006/relationships/queryTable" Target="../queryTables/queryTable140.xml"/><Relationship Id="rId7" Type="http://schemas.openxmlformats.org/officeDocument/2006/relationships/queryTable" Target="../queryTables/queryTable6.xml"/><Relationship Id="rId162" Type="http://schemas.openxmlformats.org/officeDocument/2006/relationships/queryTable" Target="../queryTables/queryTable161.xml"/><Relationship Id="rId183" Type="http://schemas.openxmlformats.org/officeDocument/2006/relationships/queryTable" Target="../queryTables/queryTable182.xml"/><Relationship Id="rId218" Type="http://schemas.openxmlformats.org/officeDocument/2006/relationships/queryTable" Target="../queryTables/queryTable217.xml"/><Relationship Id="rId239" Type="http://schemas.openxmlformats.org/officeDocument/2006/relationships/queryTable" Target="../queryTables/queryTable238.xml"/><Relationship Id="rId2" Type="http://schemas.openxmlformats.org/officeDocument/2006/relationships/queryTable" Target="../queryTables/queryTable1.xml"/><Relationship Id="rId29" Type="http://schemas.openxmlformats.org/officeDocument/2006/relationships/queryTable" Target="../queryTables/queryTable28.xml"/><Relationship Id="rId250" Type="http://schemas.openxmlformats.org/officeDocument/2006/relationships/queryTable" Target="../queryTables/queryTable249.xml"/><Relationship Id="rId255" Type="http://schemas.openxmlformats.org/officeDocument/2006/relationships/queryTable" Target="../queryTables/queryTable254.xml"/><Relationship Id="rId271" Type="http://schemas.openxmlformats.org/officeDocument/2006/relationships/queryTable" Target="../queryTables/queryTable270.xml"/><Relationship Id="rId276" Type="http://schemas.openxmlformats.org/officeDocument/2006/relationships/queryTable" Target="../queryTables/queryTable275.xml"/><Relationship Id="rId292" Type="http://schemas.openxmlformats.org/officeDocument/2006/relationships/queryTable" Target="../queryTables/queryTable291.xml"/><Relationship Id="rId297" Type="http://schemas.openxmlformats.org/officeDocument/2006/relationships/queryTable" Target="../queryTables/queryTable296.xml"/><Relationship Id="rId306" Type="http://schemas.openxmlformats.org/officeDocument/2006/relationships/queryTable" Target="../queryTables/queryTable305.xml"/><Relationship Id="rId24" Type="http://schemas.openxmlformats.org/officeDocument/2006/relationships/queryTable" Target="../queryTables/queryTable23.xml"/><Relationship Id="rId40" Type="http://schemas.openxmlformats.org/officeDocument/2006/relationships/queryTable" Target="../queryTables/queryTable39.xml"/><Relationship Id="rId45" Type="http://schemas.openxmlformats.org/officeDocument/2006/relationships/queryTable" Target="../queryTables/queryTable44.xml"/><Relationship Id="rId66" Type="http://schemas.openxmlformats.org/officeDocument/2006/relationships/queryTable" Target="../queryTables/queryTable65.xml"/><Relationship Id="rId87" Type="http://schemas.openxmlformats.org/officeDocument/2006/relationships/queryTable" Target="../queryTables/queryTable86.xml"/><Relationship Id="rId110" Type="http://schemas.openxmlformats.org/officeDocument/2006/relationships/queryTable" Target="../queryTables/queryTable109.xml"/><Relationship Id="rId115" Type="http://schemas.openxmlformats.org/officeDocument/2006/relationships/queryTable" Target="../queryTables/queryTable114.xml"/><Relationship Id="rId131" Type="http://schemas.openxmlformats.org/officeDocument/2006/relationships/queryTable" Target="../queryTables/queryTable130.xml"/><Relationship Id="rId136" Type="http://schemas.openxmlformats.org/officeDocument/2006/relationships/queryTable" Target="../queryTables/queryTable135.xml"/><Relationship Id="rId157" Type="http://schemas.openxmlformats.org/officeDocument/2006/relationships/queryTable" Target="../queryTables/queryTable156.xml"/><Relationship Id="rId178" Type="http://schemas.openxmlformats.org/officeDocument/2006/relationships/queryTable" Target="../queryTables/queryTable177.xml"/><Relationship Id="rId301" Type="http://schemas.openxmlformats.org/officeDocument/2006/relationships/queryTable" Target="../queryTables/queryTable300.xml"/><Relationship Id="rId61" Type="http://schemas.openxmlformats.org/officeDocument/2006/relationships/queryTable" Target="../queryTables/queryTable60.xml"/><Relationship Id="rId82" Type="http://schemas.openxmlformats.org/officeDocument/2006/relationships/queryTable" Target="../queryTables/queryTable81.xml"/><Relationship Id="rId152" Type="http://schemas.openxmlformats.org/officeDocument/2006/relationships/queryTable" Target="../queryTables/queryTable151.xml"/><Relationship Id="rId173" Type="http://schemas.openxmlformats.org/officeDocument/2006/relationships/queryTable" Target="../queryTables/queryTable172.xml"/><Relationship Id="rId194" Type="http://schemas.openxmlformats.org/officeDocument/2006/relationships/queryTable" Target="../queryTables/queryTable193.xml"/><Relationship Id="rId199" Type="http://schemas.openxmlformats.org/officeDocument/2006/relationships/queryTable" Target="../queryTables/queryTable198.xml"/><Relationship Id="rId203" Type="http://schemas.openxmlformats.org/officeDocument/2006/relationships/queryTable" Target="../queryTables/queryTable202.xml"/><Relationship Id="rId208" Type="http://schemas.openxmlformats.org/officeDocument/2006/relationships/queryTable" Target="../queryTables/queryTable207.xml"/><Relationship Id="rId229" Type="http://schemas.openxmlformats.org/officeDocument/2006/relationships/queryTable" Target="../queryTables/queryTable228.xml"/><Relationship Id="rId19" Type="http://schemas.openxmlformats.org/officeDocument/2006/relationships/queryTable" Target="../queryTables/queryTable18.xml"/><Relationship Id="rId224" Type="http://schemas.openxmlformats.org/officeDocument/2006/relationships/queryTable" Target="../queryTables/queryTable223.xml"/><Relationship Id="rId240" Type="http://schemas.openxmlformats.org/officeDocument/2006/relationships/queryTable" Target="../queryTables/queryTable239.xml"/><Relationship Id="rId245" Type="http://schemas.openxmlformats.org/officeDocument/2006/relationships/queryTable" Target="../queryTables/queryTable244.xml"/><Relationship Id="rId261" Type="http://schemas.openxmlformats.org/officeDocument/2006/relationships/queryTable" Target="../queryTables/queryTable260.xml"/><Relationship Id="rId266" Type="http://schemas.openxmlformats.org/officeDocument/2006/relationships/queryTable" Target="../queryTables/queryTable265.xml"/><Relationship Id="rId287" Type="http://schemas.openxmlformats.org/officeDocument/2006/relationships/queryTable" Target="../queryTables/queryTable286.xml"/><Relationship Id="rId14" Type="http://schemas.openxmlformats.org/officeDocument/2006/relationships/queryTable" Target="../queryTables/queryTable13.xml"/><Relationship Id="rId30" Type="http://schemas.openxmlformats.org/officeDocument/2006/relationships/queryTable" Target="../queryTables/queryTable29.xml"/><Relationship Id="rId35" Type="http://schemas.openxmlformats.org/officeDocument/2006/relationships/queryTable" Target="../queryTables/queryTable34.xml"/><Relationship Id="rId56" Type="http://schemas.openxmlformats.org/officeDocument/2006/relationships/queryTable" Target="../queryTables/queryTable55.xml"/><Relationship Id="rId77" Type="http://schemas.openxmlformats.org/officeDocument/2006/relationships/queryTable" Target="../queryTables/queryTable76.xml"/><Relationship Id="rId100" Type="http://schemas.openxmlformats.org/officeDocument/2006/relationships/queryTable" Target="../queryTables/queryTable99.xml"/><Relationship Id="rId105" Type="http://schemas.openxmlformats.org/officeDocument/2006/relationships/queryTable" Target="../queryTables/queryTable104.xml"/><Relationship Id="rId126" Type="http://schemas.openxmlformats.org/officeDocument/2006/relationships/queryTable" Target="../queryTables/queryTable125.xml"/><Relationship Id="rId147" Type="http://schemas.openxmlformats.org/officeDocument/2006/relationships/queryTable" Target="../queryTables/queryTable146.xml"/><Relationship Id="rId168" Type="http://schemas.openxmlformats.org/officeDocument/2006/relationships/queryTable" Target="../queryTables/queryTable167.xml"/><Relationship Id="rId282" Type="http://schemas.openxmlformats.org/officeDocument/2006/relationships/queryTable" Target="../queryTables/queryTable281.xml"/><Relationship Id="rId8" Type="http://schemas.openxmlformats.org/officeDocument/2006/relationships/queryTable" Target="../queryTables/queryTable7.xml"/><Relationship Id="rId51" Type="http://schemas.openxmlformats.org/officeDocument/2006/relationships/queryTable" Target="../queryTables/queryTable50.xml"/><Relationship Id="rId72" Type="http://schemas.openxmlformats.org/officeDocument/2006/relationships/queryTable" Target="../queryTables/queryTable71.xml"/><Relationship Id="rId93" Type="http://schemas.openxmlformats.org/officeDocument/2006/relationships/queryTable" Target="../queryTables/queryTable92.xml"/><Relationship Id="rId98" Type="http://schemas.openxmlformats.org/officeDocument/2006/relationships/queryTable" Target="../queryTables/queryTable97.xml"/><Relationship Id="rId121" Type="http://schemas.openxmlformats.org/officeDocument/2006/relationships/queryTable" Target="../queryTables/queryTable120.xml"/><Relationship Id="rId142" Type="http://schemas.openxmlformats.org/officeDocument/2006/relationships/queryTable" Target="../queryTables/queryTable141.xml"/><Relationship Id="rId163" Type="http://schemas.openxmlformats.org/officeDocument/2006/relationships/queryTable" Target="../queryTables/queryTable162.xml"/><Relationship Id="rId184" Type="http://schemas.openxmlformats.org/officeDocument/2006/relationships/queryTable" Target="../queryTables/queryTable183.xml"/><Relationship Id="rId189" Type="http://schemas.openxmlformats.org/officeDocument/2006/relationships/queryTable" Target="../queryTables/queryTable188.xml"/><Relationship Id="rId219" Type="http://schemas.openxmlformats.org/officeDocument/2006/relationships/queryTable" Target="../queryTables/queryTable218.xml"/><Relationship Id="rId3" Type="http://schemas.openxmlformats.org/officeDocument/2006/relationships/queryTable" Target="../queryTables/queryTable2.xml"/><Relationship Id="rId214" Type="http://schemas.openxmlformats.org/officeDocument/2006/relationships/queryTable" Target="../queryTables/queryTable213.xml"/><Relationship Id="rId230" Type="http://schemas.openxmlformats.org/officeDocument/2006/relationships/queryTable" Target="../queryTables/queryTable229.xml"/><Relationship Id="rId235" Type="http://schemas.openxmlformats.org/officeDocument/2006/relationships/queryTable" Target="../queryTables/queryTable234.xml"/><Relationship Id="rId251" Type="http://schemas.openxmlformats.org/officeDocument/2006/relationships/queryTable" Target="../queryTables/queryTable250.xml"/><Relationship Id="rId256" Type="http://schemas.openxmlformats.org/officeDocument/2006/relationships/queryTable" Target="../queryTables/queryTable255.xml"/><Relationship Id="rId277" Type="http://schemas.openxmlformats.org/officeDocument/2006/relationships/queryTable" Target="../queryTables/queryTable276.xml"/><Relationship Id="rId298" Type="http://schemas.openxmlformats.org/officeDocument/2006/relationships/queryTable" Target="../queryTables/queryTable297.xml"/><Relationship Id="rId25" Type="http://schemas.openxmlformats.org/officeDocument/2006/relationships/queryTable" Target="../queryTables/queryTable24.xml"/><Relationship Id="rId46" Type="http://schemas.openxmlformats.org/officeDocument/2006/relationships/queryTable" Target="../queryTables/queryTable45.xml"/><Relationship Id="rId67" Type="http://schemas.openxmlformats.org/officeDocument/2006/relationships/queryTable" Target="../queryTables/queryTable66.xml"/><Relationship Id="rId116" Type="http://schemas.openxmlformats.org/officeDocument/2006/relationships/queryTable" Target="../queryTables/queryTable115.xml"/><Relationship Id="rId137" Type="http://schemas.openxmlformats.org/officeDocument/2006/relationships/queryTable" Target="../queryTables/queryTable136.xml"/><Relationship Id="rId158" Type="http://schemas.openxmlformats.org/officeDocument/2006/relationships/queryTable" Target="../queryTables/queryTable157.xml"/><Relationship Id="rId272" Type="http://schemas.openxmlformats.org/officeDocument/2006/relationships/queryTable" Target="../queryTables/queryTable271.xml"/><Relationship Id="rId293" Type="http://schemas.openxmlformats.org/officeDocument/2006/relationships/queryTable" Target="../queryTables/queryTable292.xml"/><Relationship Id="rId302" Type="http://schemas.openxmlformats.org/officeDocument/2006/relationships/queryTable" Target="../queryTables/queryTable301.xml"/><Relationship Id="rId20" Type="http://schemas.openxmlformats.org/officeDocument/2006/relationships/queryTable" Target="../queryTables/queryTable19.xml"/><Relationship Id="rId41" Type="http://schemas.openxmlformats.org/officeDocument/2006/relationships/queryTable" Target="../queryTables/queryTable40.xml"/><Relationship Id="rId62" Type="http://schemas.openxmlformats.org/officeDocument/2006/relationships/queryTable" Target="../queryTables/queryTable61.xml"/><Relationship Id="rId83" Type="http://schemas.openxmlformats.org/officeDocument/2006/relationships/queryTable" Target="../queryTables/queryTable82.xml"/><Relationship Id="rId88" Type="http://schemas.openxmlformats.org/officeDocument/2006/relationships/queryTable" Target="../queryTables/queryTable87.xml"/><Relationship Id="rId111" Type="http://schemas.openxmlformats.org/officeDocument/2006/relationships/queryTable" Target="../queryTables/queryTable110.xml"/><Relationship Id="rId132" Type="http://schemas.openxmlformats.org/officeDocument/2006/relationships/queryTable" Target="../queryTables/queryTable131.xml"/><Relationship Id="rId153" Type="http://schemas.openxmlformats.org/officeDocument/2006/relationships/queryTable" Target="../queryTables/queryTable152.xml"/><Relationship Id="rId174" Type="http://schemas.openxmlformats.org/officeDocument/2006/relationships/queryTable" Target="../queryTables/queryTable173.xml"/><Relationship Id="rId179" Type="http://schemas.openxmlformats.org/officeDocument/2006/relationships/queryTable" Target="../queryTables/queryTable178.xml"/><Relationship Id="rId195" Type="http://schemas.openxmlformats.org/officeDocument/2006/relationships/queryTable" Target="../queryTables/queryTable194.xml"/><Relationship Id="rId209" Type="http://schemas.openxmlformats.org/officeDocument/2006/relationships/queryTable" Target="../queryTables/queryTable208.xml"/><Relationship Id="rId190" Type="http://schemas.openxmlformats.org/officeDocument/2006/relationships/queryTable" Target="../queryTables/queryTable189.xml"/><Relationship Id="rId204" Type="http://schemas.openxmlformats.org/officeDocument/2006/relationships/queryTable" Target="../queryTables/queryTable203.xml"/><Relationship Id="rId220" Type="http://schemas.openxmlformats.org/officeDocument/2006/relationships/queryTable" Target="../queryTables/queryTable219.xml"/><Relationship Id="rId225" Type="http://schemas.openxmlformats.org/officeDocument/2006/relationships/queryTable" Target="../queryTables/queryTable224.xml"/><Relationship Id="rId241" Type="http://schemas.openxmlformats.org/officeDocument/2006/relationships/queryTable" Target="../queryTables/queryTable240.xml"/><Relationship Id="rId246" Type="http://schemas.openxmlformats.org/officeDocument/2006/relationships/queryTable" Target="../queryTables/queryTable245.xml"/><Relationship Id="rId267" Type="http://schemas.openxmlformats.org/officeDocument/2006/relationships/queryTable" Target="../queryTables/queryTable266.xml"/><Relationship Id="rId288" Type="http://schemas.openxmlformats.org/officeDocument/2006/relationships/queryTable" Target="../queryTables/queryTable287.xml"/><Relationship Id="rId15" Type="http://schemas.openxmlformats.org/officeDocument/2006/relationships/queryTable" Target="../queryTables/queryTable14.xml"/><Relationship Id="rId36" Type="http://schemas.openxmlformats.org/officeDocument/2006/relationships/queryTable" Target="../queryTables/queryTable35.xml"/><Relationship Id="rId57" Type="http://schemas.openxmlformats.org/officeDocument/2006/relationships/queryTable" Target="../queryTables/queryTable56.xml"/><Relationship Id="rId106" Type="http://schemas.openxmlformats.org/officeDocument/2006/relationships/queryTable" Target="../queryTables/queryTable105.xml"/><Relationship Id="rId127" Type="http://schemas.openxmlformats.org/officeDocument/2006/relationships/queryTable" Target="../queryTables/queryTable126.xml"/><Relationship Id="rId262" Type="http://schemas.openxmlformats.org/officeDocument/2006/relationships/queryTable" Target="../queryTables/queryTable261.xml"/><Relationship Id="rId283" Type="http://schemas.openxmlformats.org/officeDocument/2006/relationships/queryTable" Target="../queryTables/queryTable282.xml"/><Relationship Id="rId10" Type="http://schemas.openxmlformats.org/officeDocument/2006/relationships/queryTable" Target="../queryTables/queryTable9.xml"/><Relationship Id="rId31" Type="http://schemas.openxmlformats.org/officeDocument/2006/relationships/queryTable" Target="../queryTables/queryTable30.xml"/><Relationship Id="rId52" Type="http://schemas.openxmlformats.org/officeDocument/2006/relationships/queryTable" Target="../queryTables/queryTable51.xml"/><Relationship Id="rId73" Type="http://schemas.openxmlformats.org/officeDocument/2006/relationships/queryTable" Target="../queryTables/queryTable72.xml"/><Relationship Id="rId78" Type="http://schemas.openxmlformats.org/officeDocument/2006/relationships/queryTable" Target="../queryTables/queryTable77.xml"/><Relationship Id="rId94" Type="http://schemas.openxmlformats.org/officeDocument/2006/relationships/queryTable" Target="../queryTables/queryTable93.xml"/><Relationship Id="rId99" Type="http://schemas.openxmlformats.org/officeDocument/2006/relationships/queryTable" Target="../queryTables/queryTable98.xml"/><Relationship Id="rId101" Type="http://schemas.openxmlformats.org/officeDocument/2006/relationships/queryTable" Target="../queryTables/queryTable100.xml"/><Relationship Id="rId122" Type="http://schemas.openxmlformats.org/officeDocument/2006/relationships/queryTable" Target="../queryTables/queryTable121.xml"/><Relationship Id="rId143" Type="http://schemas.openxmlformats.org/officeDocument/2006/relationships/queryTable" Target="../queryTables/queryTable142.xml"/><Relationship Id="rId148" Type="http://schemas.openxmlformats.org/officeDocument/2006/relationships/queryTable" Target="../queryTables/queryTable147.xml"/><Relationship Id="rId164" Type="http://schemas.openxmlformats.org/officeDocument/2006/relationships/queryTable" Target="../queryTables/queryTable163.xml"/><Relationship Id="rId169" Type="http://schemas.openxmlformats.org/officeDocument/2006/relationships/queryTable" Target="../queryTables/queryTable168.xml"/><Relationship Id="rId185" Type="http://schemas.openxmlformats.org/officeDocument/2006/relationships/queryTable" Target="../queryTables/queryTable184.xml"/><Relationship Id="rId4" Type="http://schemas.openxmlformats.org/officeDocument/2006/relationships/queryTable" Target="../queryTables/queryTable3.xml"/><Relationship Id="rId9" Type="http://schemas.openxmlformats.org/officeDocument/2006/relationships/queryTable" Target="../queryTables/queryTable8.xml"/><Relationship Id="rId180" Type="http://schemas.openxmlformats.org/officeDocument/2006/relationships/queryTable" Target="../queryTables/queryTable179.xml"/><Relationship Id="rId210" Type="http://schemas.openxmlformats.org/officeDocument/2006/relationships/queryTable" Target="../queryTables/queryTable209.xml"/><Relationship Id="rId215" Type="http://schemas.openxmlformats.org/officeDocument/2006/relationships/queryTable" Target="../queryTables/queryTable214.xml"/><Relationship Id="rId236" Type="http://schemas.openxmlformats.org/officeDocument/2006/relationships/queryTable" Target="../queryTables/queryTable235.xml"/><Relationship Id="rId257" Type="http://schemas.openxmlformats.org/officeDocument/2006/relationships/queryTable" Target="../queryTables/queryTable256.xml"/><Relationship Id="rId278" Type="http://schemas.openxmlformats.org/officeDocument/2006/relationships/queryTable" Target="../queryTables/queryTable277.xml"/><Relationship Id="rId26" Type="http://schemas.openxmlformats.org/officeDocument/2006/relationships/queryTable" Target="../queryTables/queryTable25.xml"/><Relationship Id="rId231" Type="http://schemas.openxmlformats.org/officeDocument/2006/relationships/queryTable" Target="../queryTables/queryTable230.xml"/><Relationship Id="rId252" Type="http://schemas.openxmlformats.org/officeDocument/2006/relationships/queryTable" Target="../queryTables/queryTable251.xml"/><Relationship Id="rId273" Type="http://schemas.openxmlformats.org/officeDocument/2006/relationships/queryTable" Target="../queryTables/queryTable272.xml"/><Relationship Id="rId294" Type="http://schemas.openxmlformats.org/officeDocument/2006/relationships/queryTable" Target="../queryTables/queryTable293.xml"/><Relationship Id="rId47" Type="http://schemas.openxmlformats.org/officeDocument/2006/relationships/queryTable" Target="../queryTables/queryTable46.xml"/><Relationship Id="rId68" Type="http://schemas.openxmlformats.org/officeDocument/2006/relationships/queryTable" Target="../queryTables/queryTable67.xml"/><Relationship Id="rId89" Type="http://schemas.openxmlformats.org/officeDocument/2006/relationships/queryTable" Target="../queryTables/queryTable88.xml"/><Relationship Id="rId112" Type="http://schemas.openxmlformats.org/officeDocument/2006/relationships/queryTable" Target="../queryTables/queryTable111.xml"/><Relationship Id="rId133" Type="http://schemas.openxmlformats.org/officeDocument/2006/relationships/queryTable" Target="../queryTables/queryTable132.xml"/><Relationship Id="rId154" Type="http://schemas.openxmlformats.org/officeDocument/2006/relationships/queryTable" Target="../queryTables/queryTable153.xml"/><Relationship Id="rId175" Type="http://schemas.openxmlformats.org/officeDocument/2006/relationships/queryTable" Target="../queryTables/queryTable174.xml"/><Relationship Id="rId196" Type="http://schemas.openxmlformats.org/officeDocument/2006/relationships/queryTable" Target="../queryTables/queryTable195.xml"/><Relationship Id="rId200" Type="http://schemas.openxmlformats.org/officeDocument/2006/relationships/queryTable" Target="../queryTables/queryTable199.xml"/><Relationship Id="rId16" Type="http://schemas.openxmlformats.org/officeDocument/2006/relationships/queryTable" Target="../queryTables/queryTable15.xml"/><Relationship Id="rId221" Type="http://schemas.openxmlformats.org/officeDocument/2006/relationships/queryTable" Target="../queryTables/queryTable220.xml"/><Relationship Id="rId242" Type="http://schemas.openxmlformats.org/officeDocument/2006/relationships/queryTable" Target="../queryTables/queryTable241.xml"/><Relationship Id="rId263" Type="http://schemas.openxmlformats.org/officeDocument/2006/relationships/queryTable" Target="../queryTables/queryTable262.xml"/><Relationship Id="rId284" Type="http://schemas.openxmlformats.org/officeDocument/2006/relationships/queryTable" Target="../queryTables/queryTable283.xml"/><Relationship Id="rId37" Type="http://schemas.openxmlformats.org/officeDocument/2006/relationships/queryTable" Target="../queryTables/queryTable36.xml"/><Relationship Id="rId58" Type="http://schemas.openxmlformats.org/officeDocument/2006/relationships/queryTable" Target="../queryTables/queryTable57.xml"/><Relationship Id="rId79" Type="http://schemas.openxmlformats.org/officeDocument/2006/relationships/queryTable" Target="../queryTables/queryTable78.xml"/><Relationship Id="rId102" Type="http://schemas.openxmlformats.org/officeDocument/2006/relationships/queryTable" Target="../queryTables/queryTable101.xml"/><Relationship Id="rId123" Type="http://schemas.openxmlformats.org/officeDocument/2006/relationships/queryTable" Target="../queryTables/queryTable122.xml"/><Relationship Id="rId144" Type="http://schemas.openxmlformats.org/officeDocument/2006/relationships/queryTable" Target="../queryTables/queryTable143.xml"/><Relationship Id="rId90" Type="http://schemas.openxmlformats.org/officeDocument/2006/relationships/queryTable" Target="../queryTables/queryTable89.xml"/><Relationship Id="rId165" Type="http://schemas.openxmlformats.org/officeDocument/2006/relationships/queryTable" Target="../queryTables/queryTable164.xml"/><Relationship Id="rId186" Type="http://schemas.openxmlformats.org/officeDocument/2006/relationships/queryTable" Target="../queryTables/queryTable185.xml"/><Relationship Id="rId211" Type="http://schemas.openxmlformats.org/officeDocument/2006/relationships/queryTable" Target="../queryTables/queryTable210.xml"/><Relationship Id="rId232" Type="http://schemas.openxmlformats.org/officeDocument/2006/relationships/queryTable" Target="../queryTables/queryTable231.xml"/><Relationship Id="rId253" Type="http://schemas.openxmlformats.org/officeDocument/2006/relationships/queryTable" Target="../queryTables/queryTable252.xml"/><Relationship Id="rId274" Type="http://schemas.openxmlformats.org/officeDocument/2006/relationships/queryTable" Target="../queryTables/queryTable273.xml"/><Relationship Id="rId295" Type="http://schemas.openxmlformats.org/officeDocument/2006/relationships/queryTable" Target="../queryTables/queryTable294.xml"/><Relationship Id="rId27" Type="http://schemas.openxmlformats.org/officeDocument/2006/relationships/queryTable" Target="../queryTables/queryTable26.xml"/><Relationship Id="rId48" Type="http://schemas.openxmlformats.org/officeDocument/2006/relationships/queryTable" Target="../queryTables/queryTable47.xml"/><Relationship Id="rId69" Type="http://schemas.openxmlformats.org/officeDocument/2006/relationships/queryTable" Target="../queryTables/queryTable68.xml"/><Relationship Id="rId113" Type="http://schemas.openxmlformats.org/officeDocument/2006/relationships/queryTable" Target="../queryTables/queryTable112.xml"/><Relationship Id="rId134" Type="http://schemas.openxmlformats.org/officeDocument/2006/relationships/queryTable" Target="../queryTables/queryTable133.xml"/><Relationship Id="rId80" Type="http://schemas.openxmlformats.org/officeDocument/2006/relationships/queryTable" Target="../queryTables/queryTable79.xml"/><Relationship Id="rId155" Type="http://schemas.openxmlformats.org/officeDocument/2006/relationships/queryTable" Target="../queryTables/queryTable154.xml"/><Relationship Id="rId176" Type="http://schemas.openxmlformats.org/officeDocument/2006/relationships/queryTable" Target="../queryTables/queryTable175.xml"/><Relationship Id="rId197" Type="http://schemas.openxmlformats.org/officeDocument/2006/relationships/queryTable" Target="../queryTables/queryTable196.xml"/><Relationship Id="rId201" Type="http://schemas.openxmlformats.org/officeDocument/2006/relationships/queryTable" Target="../queryTables/queryTable200.xml"/><Relationship Id="rId222" Type="http://schemas.openxmlformats.org/officeDocument/2006/relationships/queryTable" Target="../queryTables/queryTable221.xml"/><Relationship Id="rId243" Type="http://schemas.openxmlformats.org/officeDocument/2006/relationships/queryTable" Target="../queryTables/queryTable242.xml"/><Relationship Id="rId264" Type="http://schemas.openxmlformats.org/officeDocument/2006/relationships/queryTable" Target="../queryTables/queryTable263.xml"/><Relationship Id="rId285" Type="http://schemas.openxmlformats.org/officeDocument/2006/relationships/queryTable" Target="../queryTables/queryTable284.xml"/><Relationship Id="rId17" Type="http://schemas.openxmlformats.org/officeDocument/2006/relationships/queryTable" Target="../queryTables/queryTable16.xml"/><Relationship Id="rId38" Type="http://schemas.openxmlformats.org/officeDocument/2006/relationships/queryTable" Target="../queryTables/queryTable37.xml"/><Relationship Id="rId59" Type="http://schemas.openxmlformats.org/officeDocument/2006/relationships/queryTable" Target="../queryTables/queryTable58.xml"/><Relationship Id="rId103" Type="http://schemas.openxmlformats.org/officeDocument/2006/relationships/queryTable" Target="../queryTables/queryTable102.xml"/><Relationship Id="rId124" Type="http://schemas.openxmlformats.org/officeDocument/2006/relationships/queryTable" Target="../queryTables/queryTable123.xml"/><Relationship Id="rId70" Type="http://schemas.openxmlformats.org/officeDocument/2006/relationships/queryTable" Target="../queryTables/queryTable69.xml"/><Relationship Id="rId91" Type="http://schemas.openxmlformats.org/officeDocument/2006/relationships/queryTable" Target="../queryTables/queryTable90.xml"/><Relationship Id="rId145" Type="http://schemas.openxmlformats.org/officeDocument/2006/relationships/queryTable" Target="../queryTables/queryTable144.xml"/><Relationship Id="rId166" Type="http://schemas.openxmlformats.org/officeDocument/2006/relationships/queryTable" Target="../queryTables/queryTable165.xml"/><Relationship Id="rId187" Type="http://schemas.openxmlformats.org/officeDocument/2006/relationships/queryTable" Target="../queryTables/queryTable186.xml"/><Relationship Id="rId1" Type="http://schemas.openxmlformats.org/officeDocument/2006/relationships/printerSettings" Target="../printerSettings/printerSettings8.bin"/><Relationship Id="rId212" Type="http://schemas.openxmlformats.org/officeDocument/2006/relationships/queryTable" Target="../queryTables/queryTable211.xml"/><Relationship Id="rId233" Type="http://schemas.openxmlformats.org/officeDocument/2006/relationships/queryTable" Target="../queryTables/queryTable232.xml"/><Relationship Id="rId254" Type="http://schemas.openxmlformats.org/officeDocument/2006/relationships/queryTable" Target="../queryTables/queryTable253.xml"/><Relationship Id="rId28" Type="http://schemas.openxmlformats.org/officeDocument/2006/relationships/queryTable" Target="../queryTables/queryTable27.xml"/><Relationship Id="rId49" Type="http://schemas.openxmlformats.org/officeDocument/2006/relationships/queryTable" Target="../queryTables/queryTable48.xml"/><Relationship Id="rId114" Type="http://schemas.openxmlformats.org/officeDocument/2006/relationships/queryTable" Target="../queryTables/queryTable113.xml"/><Relationship Id="rId275" Type="http://schemas.openxmlformats.org/officeDocument/2006/relationships/queryTable" Target="../queryTables/queryTable274.xml"/><Relationship Id="rId296" Type="http://schemas.openxmlformats.org/officeDocument/2006/relationships/queryTable" Target="../queryTables/queryTable295.xml"/><Relationship Id="rId300" Type="http://schemas.openxmlformats.org/officeDocument/2006/relationships/queryTable" Target="../queryTables/queryTable299.xml"/><Relationship Id="rId60" Type="http://schemas.openxmlformats.org/officeDocument/2006/relationships/queryTable" Target="../queryTables/queryTable59.xml"/><Relationship Id="rId81" Type="http://schemas.openxmlformats.org/officeDocument/2006/relationships/queryTable" Target="../queryTables/queryTable80.xml"/><Relationship Id="rId135" Type="http://schemas.openxmlformats.org/officeDocument/2006/relationships/queryTable" Target="../queryTables/queryTable134.xml"/><Relationship Id="rId156" Type="http://schemas.openxmlformats.org/officeDocument/2006/relationships/queryTable" Target="../queryTables/queryTable155.xml"/><Relationship Id="rId177" Type="http://schemas.openxmlformats.org/officeDocument/2006/relationships/queryTable" Target="../queryTables/queryTable176.xml"/><Relationship Id="rId198" Type="http://schemas.openxmlformats.org/officeDocument/2006/relationships/queryTable" Target="../queryTables/queryTable197.xml"/><Relationship Id="rId202" Type="http://schemas.openxmlformats.org/officeDocument/2006/relationships/queryTable" Target="../queryTables/queryTable201.xml"/><Relationship Id="rId223" Type="http://schemas.openxmlformats.org/officeDocument/2006/relationships/queryTable" Target="../queryTables/queryTable222.xml"/><Relationship Id="rId244" Type="http://schemas.openxmlformats.org/officeDocument/2006/relationships/queryTable" Target="../queryTables/queryTable243.xml"/><Relationship Id="rId18" Type="http://schemas.openxmlformats.org/officeDocument/2006/relationships/queryTable" Target="../queryTables/queryTable17.xml"/><Relationship Id="rId39" Type="http://schemas.openxmlformats.org/officeDocument/2006/relationships/queryTable" Target="../queryTables/queryTable38.xml"/><Relationship Id="rId265" Type="http://schemas.openxmlformats.org/officeDocument/2006/relationships/queryTable" Target="../queryTables/queryTable264.xml"/><Relationship Id="rId286" Type="http://schemas.openxmlformats.org/officeDocument/2006/relationships/queryTable" Target="../queryTables/queryTable285.xml"/><Relationship Id="rId50" Type="http://schemas.openxmlformats.org/officeDocument/2006/relationships/queryTable" Target="../queryTables/queryTable49.xml"/><Relationship Id="rId104" Type="http://schemas.openxmlformats.org/officeDocument/2006/relationships/queryTable" Target="../queryTables/queryTable103.xml"/><Relationship Id="rId125" Type="http://schemas.openxmlformats.org/officeDocument/2006/relationships/queryTable" Target="../queryTables/queryTable124.xml"/><Relationship Id="rId146" Type="http://schemas.openxmlformats.org/officeDocument/2006/relationships/queryTable" Target="../queryTables/queryTable145.xml"/><Relationship Id="rId167" Type="http://schemas.openxmlformats.org/officeDocument/2006/relationships/queryTable" Target="../queryTables/queryTable166.xml"/><Relationship Id="rId188" Type="http://schemas.openxmlformats.org/officeDocument/2006/relationships/queryTable" Target="../queryTables/queryTable187.xml"/><Relationship Id="rId71" Type="http://schemas.openxmlformats.org/officeDocument/2006/relationships/queryTable" Target="../queryTables/queryTable70.xml"/><Relationship Id="rId92" Type="http://schemas.openxmlformats.org/officeDocument/2006/relationships/queryTable" Target="../queryTables/queryTable91.xml"/><Relationship Id="rId213" Type="http://schemas.openxmlformats.org/officeDocument/2006/relationships/queryTable" Target="../queryTables/queryTable212.xml"/><Relationship Id="rId234" Type="http://schemas.openxmlformats.org/officeDocument/2006/relationships/queryTable" Target="../queryTables/queryTable23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1.xml"/><Relationship Id="rId1" Type="http://schemas.openxmlformats.org/officeDocument/2006/relationships/printerSettings" Target="../printerSettings/printerSettings20.bin"/><Relationship Id="rId4" Type="http://schemas.openxmlformats.org/officeDocument/2006/relationships/comments" Target="../comments2.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7.xml"/><Relationship Id="rId1" Type="http://schemas.openxmlformats.org/officeDocument/2006/relationships/printerSettings" Target="../printerSettings/printerSettings26.bin"/><Relationship Id="rId4" Type="http://schemas.openxmlformats.org/officeDocument/2006/relationships/comments" Target="../comments3.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4.bin"/></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9.xml"/><Relationship Id="rId1" Type="http://schemas.openxmlformats.org/officeDocument/2006/relationships/printerSettings" Target="../printerSettings/printerSettings35.bin"/></Relationships>
</file>

<file path=xl/worksheets/_rels/sheet4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drawing" Target="../drawings/drawing40.xml"/></Relationships>
</file>

<file path=xl/worksheets/sheet1.xml><?xml version="1.0" encoding="utf-8"?>
<worksheet xmlns="http://schemas.openxmlformats.org/spreadsheetml/2006/main" xmlns:r="http://schemas.openxmlformats.org/officeDocument/2006/relationships">
  <sheetPr codeName="Feuil20"/>
  <dimension ref="A1:A2"/>
  <sheetViews>
    <sheetView showGridLines="0" showRowColHeaders="0" tabSelected="1" workbookViewId="0"/>
  </sheetViews>
  <sheetFormatPr baseColWidth="10" defaultColWidth="0" defaultRowHeight="15" zeroHeight="1"/>
  <cols>
    <col min="1" max="1" width="195.140625" customWidth="1"/>
    <col min="2" max="16384" width="11.42578125" hidden="1"/>
  </cols>
  <sheetData>
    <row r="1" spans="1:1" ht="409.5" customHeight="1">
      <c r="A1" s="409"/>
    </row>
    <row r="2" spans="1:1" ht="191.25" hidden="1" customHeight="1"/>
  </sheetData>
  <sheetProtection password="8B0A" sheet="1" objects="1" scenarios="1"/>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sheetPr codeName="Feuil12"/>
  <dimension ref="A1:N11"/>
  <sheetViews>
    <sheetView showGridLines="0" showRowColHeaders="0" workbookViewId="0">
      <selection sqref="A1:A5"/>
    </sheetView>
  </sheetViews>
  <sheetFormatPr baseColWidth="10" defaultColWidth="0" defaultRowHeight="15" zeroHeight="1"/>
  <cols>
    <col min="1" max="1" width="4.42578125" customWidth="1"/>
    <col min="2" max="2" width="180" customWidth="1"/>
    <col min="3" max="9" width="11.42578125" hidden="1" customWidth="1"/>
    <col min="10" max="14" width="0" hidden="1" customWidth="1"/>
    <col min="15" max="16384" width="11.42578125" hidden="1"/>
  </cols>
  <sheetData>
    <row r="1" spans="1:14" ht="33.75">
      <c r="A1" s="510"/>
      <c r="B1" s="509" t="s">
        <v>440</v>
      </c>
      <c r="C1" s="509"/>
      <c r="D1" s="509"/>
      <c r="E1" s="509"/>
      <c r="F1" s="509"/>
      <c r="G1" s="509"/>
      <c r="H1" s="509"/>
      <c r="I1" s="509"/>
      <c r="J1" s="513"/>
      <c r="K1" s="513"/>
      <c r="L1" s="513"/>
      <c r="M1" s="513"/>
      <c r="N1" s="513"/>
    </row>
    <row r="2" spans="1:14" s="389" customFormat="1" ht="15.75" customHeight="1">
      <c r="A2" s="510"/>
      <c r="B2" s="390" t="s">
        <v>439</v>
      </c>
      <c r="C2" s="387"/>
      <c r="D2" s="387"/>
      <c r="E2" s="387"/>
      <c r="F2" s="387"/>
      <c r="G2" s="387"/>
      <c r="H2" s="387"/>
      <c r="I2" s="387"/>
      <c r="J2" s="388"/>
      <c r="K2" s="388"/>
      <c r="L2" s="388"/>
      <c r="M2" s="388"/>
      <c r="N2" s="388"/>
    </row>
    <row r="3" spans="1:14" ht="102" customHeight="1">
      <c r="A3" s="510"/>
      <c r="B3" s="514" t="s">
        <v>235</v>
      </c>
      <c r="C3" s="514"/>
      <c r="D3" s="514"/>
      <c r="E3" s="514"/>
      <c r="F3" s="514"/>
      <c r="G3" s="514"/>
      <c r="H3" s="514"/>
      <c r="I3" s="514"/>
      <c r="J3" s="47"/>
      <c r="K3" s="47"/>
      <c r="L3" s="47"/>
      <c r="M3" s="47"/>
      <c r="N3" s="47"/>
    </row>
    <row r="4" spans="1:14" ht="97.5" customHeight="1">
      <c r="A4" s="510"/>
      <c r="B4" s="511" t="s">
        <v>467</v>
      </c>
      <c r="C4" s="512"/>
      <c r="D4" s="512"/>
      <c r="E4" s="512"/>
      <c r="F4" s="512"/>
      <c r="G4" s="512"/>
      <c r="H4" s="512"/>
      <c r="I4" s="512"/>
      <c r="J4" s="47"/>
      <c r="K4" s="47"/>
      <c r="L4" s="47"/>
      <c r="M4" s="47"/>
      <c r="N4" s="47"/>
    </row>
    <row r="5" spans="1:14" ht="130.5" customHeight="1">
      <c r="A5" s="510"/>
      <c r="B5" s="511" t="s">
        <v>135</v>
      </c>
      <c r="C5" s="512"/>
      <c r="D5" s="512"/>
      <c r="E5" s="512"/>
      <c r="F5" s="512"/>
      <c r="G5" s="512"/>
      <c r="H5" s="512"/>
      <c r="I5" s="512"/>
      <c r="J5" s="47"/>
      <c r="K5" s="47"/>
      <c r="L5" s="47"/>
      <c r="M5" s="47"/>
      <c r="N5" s="47"/>
    </row>
    <row r="6" spans="1:14" ht="23.25" hidden="1">
      <c r="A6" s="48"/>
      <c r="B6" s="511"/>
      <c r="C6" s="512"/>
      <c r="D6" s="512"/>
      <c r="E6" s="512"/>
      <c r="F6" s="512"/>
      <c r="G6" s="512"/>
      <c r="H6" s="512"/>
      <c r="I6" s="512"/>
      <c r="J6" s="47"/>
      <c r="K6" s="47"/>
      <c r="L6" s="47"/>
      <c r="M6" s="47"/>
      <c r="N6" s="47"/>
    </row>
    <row r="7" spans="1:14" ht="23.25" hidden="1">
      <c r="A7" s="48"/>
      <c r="B7" s="511"/>
      <c r="C7" s="512"/>
      <c r="D7" s="512"/>
      <c r="E7" s="512"/>
      <c r="F7" s="512"/>
      <c r="G7" s="512"/>
      <c r="H7" s="512"/>
      <c r="I7" s="512"/>
      <c r="J7" s="47"/>
      <c r="K7" s="47"/>
      <c r="L7" s="47"/>
      <c r="M7" s="47"/>
      <c r="N7" s="47"/>
    </row>
    <row r="8" spans="1:14" ht="23.25" hidden="1">
      <c r="A8" s="48"/>
      <c r="B8" s="511"/>
      <c r="C8" s="512"/>
      <c r="D8" s="512"/>
      <c r="E8" s="512"/>
      <c r="F8" s="512"/>
      <c r="G8" s="512"/>
      <c r="H8" s="512"/>
      <c r="I8" s="512"/>
      <c r="J8" s="47"/>
      <c r="K8" s="47"/>
      <c r="L8" s="47"/>
      <c r="M8" s="47"/>
      <c r="N8" s="47"/>
    </row>
    <row r="9" spans="1:14" ht="23.25" hidden="1">
      <c r="A9" s="48"/>
      <c r="B9" s="511"/>
      <c r="C9" s="512"/>
      <c r="D9" s="512"/>
      <c r="E9" s="512"/>
      <c r="F9" s="512"/>
      <c r="G9" s="512"/>
      <c r="H9" s="512"/>
      <c r="I9" s="512"/>
      <c r="J9" s="47"/>
      <c r="K9" s="47"/>
      <c r="L9" s="47"/>
      <c r="M9" s="47"/>
      <c r="N9" s="47"/>
    </row>
    <row r="10" spans="1:14" ht="132" hidden="1" customHeight="1">
      <c r="A10" s="48"/>
      <c r="B10" s="511"/>
      <c r="C10" s="512"/>
      <c r="D10" s="512"/>
      <c r="E10" s="512"/>
      <c r="F10" s="512"/>
      <c r="G10" s="512"/>
      <c r="H10" s="512"/>
      <c r="I10" s="512"/>
      <c r="J10" s="47"/>
      <c r="K10" s="47"/>
      <c r="L10" s="47"/>
      <c r="M10" s="47"/>
      <c r="N10" s="47"/>
    </row>
    <row r="11" spans="1:14" hidden="1"/>
  </sheetData>
  <sheetProtection password="8B0A" sheet="1" objects="1" scenarios="1"/>
  <mergeCells count="11">
    <mergeCell ref="B7:I7"/>
    <mergeCell ref="B8:I8"/>
    <mergeCell ref="B9:I9"/>
    <mergeCell ref="B10:I10"/>
    <mergeCell ref="B4:I4"/>
    <mergeCell ref="B5:I5"/>
    <mergeCell ref="B1:I1"/>
    <mergeCell ref="A1:A5"/>
    <mergeCell ref="B6:I6"/>
    <mergeCell ref="J1:N1"/>
    <mergeCell ref="B3:I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28"/>
  <dimension ref="A1:O137"/>
  <sheetViews>
    <sheetView showGridLines="0" showRowColHeaders="0" workbookViewId="0">
      <selection activeCell="B3" sqref="B3"/>
    </sheetView>
  </sheetViews>
  <sheetFormatPr baseColWidth="10" defaultColWidth="0" defaultRowHeight="15" zeroHeight="1"/>
  <cols>
    <col min="1" max="1" width="55.85546875" style="21" customWidth="1"/>
    <col min="2" max="2" width="36.7109375" style="21" customWidth="1"/>
    <col min="3" max="15" width="11.42578125" style="21" hidden="1" customWidth="1"/>
    <col min="16" max="16384" width="11.42578125" style="21" hidden="1"/>
  </cols>
  <sheetData>
    <row r="1" spans="1:15" ht="26.25">
      <c r="A1" s="515" t="s">
        <v>414</v>
      </c>
      <c r="B1" s="515"/>
      <c r="D1" s="524" t="s">
        <v>452</v>
      </c>
      <c r="E1" s="524"/>
      <c r="F1" s="524"/>
      <c r="G1" s="524"/>
      <c r="H1" s="524"/>
      <c r="I1" s="524"/>
      <c r="J1" s="524"/>
      <c r="K1" s="524"/>
      <c r="L1" s="524"/>
      <c r="M1" s="524"/>
      <c r="N1" s="524"/>
      <c r="O1" s="524"/>
    </row>
    <row r="2" spans="1:15" ht="29.25" customHeight="1">
      <c r="A2" s="400" t="s">
        <v>450</v>
      </c>
      <c r="B2" s="264" t="str">
        <f>IF(B12=1,"!! ATTENTION !! Saisie Invalide !",IF(OR(B3="",B3=" "),"↓ Comment dois-je vous appeler ? ↓","Très bien ! Je vous appellerais…"))</f>
        <v>↓ Comment dois-je vous appeler ? ↓</v>
      </c>
      <c r="D2" s="404" t="s">
        <v>140</v>
      </c>
      <c r="E2" s="404" t="s">
        <v>141</v>
      </c>
      <c r="F2" s="404" t="s">
        <v>144</v>
      </c>
      <c r="G2" s="404" t="s">
        <v>147</v>
      </c>
      <c r="H2" s="404" t="s">
        <v>139</v>
      </c>
      <c r="I2" s="404" t="s">
        <v>142</v>
      </c>
      <c r="J2" s="404" t="s">
        <v>145</v>
      </c>
      <c r="K2" s="404" t="s">
        <v>148</v>
      </c>
      <c r="L2" s="404" t="s">
        <v>138</v>
      </c>
      <c r="M2" s="404" t="s">
        <v>143</v>
      </c>
      <c r="N2" s="404" t="s">
        <v>146</v>
      </c>
      <c r="O2" s="404" t="s">
        <v>304</v>
      </c>
    </row>
    <row r="3" spans="1:15" ht="15.75">
      <c r="A3" s="523" t="s">
        <v>303</v>
      </c>
      <c r="B3" s="263"/>
      <c r="D3" s="417">
        <f ca="1">L8+81</f>
        <v>43180.5</v>
      </c>
      <c r="E3" s="417">
        <f ca="1">L8+111</f>
        <v>43210.5</v>
      </c>
      <c r="F3" s="417">
        <f ca="1">L8+143</f>
        <v>43242.5</v>
      </c>
      <c r="G3" s="417">
        <f ca="1">L8+174</f>
        <v>43273.5</v>
      </c>
      <c r="H3" s="417">
        <f ca="1">L8+205</f>
        <v>43304.5</v>
      </c>
      <c r="I3" s="417">
        <f ca="1">L8+236</f>
        <v>43335.5</v>
      </c>
      <c r="J3" s="417">
        <f ca="1">L8+267</f>
        <v>43366.5</v>
      </c>
      <c r="K3" s="417">
        <f ca="1">L8+297</f>
        <v>43396.5</v>
      </c>
      <c r="L3" s="417">
        <f ca="1">L8+328</f>
        <v>43427.5</v>
      </c>
      <c r="M3" s="417">
        <f ca="1">L8+357</f>
        <v>43456.5</v>
      </c>
      <c r="N3" s="417">
        <f ca="1">L8+20</f>
        <v>43119.5</v>
      </c>
      <c r="O3" s="417">
        <f ca="1">L8+51</f>
        <v>43150.5</v>
      </c>
    </row>
    <row r="4" spans="1:15" ht="20.25" customHeight="1">
      <c r="A4" s="523"/>
      <c r="B4" s="265" t="str">
        <f>IF(OR(B3=" ",B3=""),"↑ Saisir votre prénom, surnom ou pseudo. ↑","")</f>
        <v>↑ Saisir votre prénom, surnom ou pseudo. ↑</v>
      </c>
      <c r="D4" s="417">
        <f ca="1">L8+110</f>
        <v>43209.5</v>
      </c>
      <c r="E4" s="417">
        <f ca="1">L8+142</f>
        <v>43241.5</v>
      </c>
      <c r="F4" s="417">
        <f ca="1">L8+173</f>
        <v>43272.5</v>
      </c>
      <c r="G4" s="417">
        <f ca="1">L8+204</f>
        <v>43303.5</v>
      </c>
      <c r="H4" s="417">
        <f ca="1">L8+235</f>
        <v>43334.5</v>
      </c>
      <c r="I4" s="417">
        <f ca="1">L8+266</f>
        <v>43365.5</v>
      </c>
      <c r="J4" s="417">
        <f ca="1">L8+296</f>
        <v>43395.5</v>
      </c>
      <c r="K4" s="417">
        <f ca="1">L8+327</f>
        <v>43426.5</v>
      </c>
      <c r="L4" s="417">
        <f ca="1">L8+356</f>
        <v>43455.5</v>
      </c>
      <c r="M4" s="417">
        <f ca="1">L8+385</f>
        <v>43484.5</v>
      </c>
      <c r="N4" s="417">
        <f ca="1">L8+50</f>
        <v>43149.5</v>
      </c>
      <c r="O4" s="417">
        <f ca="1">L8+80</f>
        <v>43179.5</v>
      </c>
    </row>
    <row r="5" spans="1:15" ht="17.25">
      <c r="A5" s="402" t="s">
        <v>449</v>
      </c>
      <c r="B5" s="264" t="str">
        <f>IF(OR(B6="",B6=" "),"↓ Quelle est votre date de naissance ? ↓","")</f>
        <v>↓ Quelle est votre date de naissance ? ↓</v>
      </c>
      <c r="D5" s="526" t="s">
        <v>455</v>
      </c>
      <c r="E5" s="527"/>
      <c r="F5" s="527"/>
      <c r="G5" s="528"/>
      <c r="H5" s="403" t="s">
        <v>305</v>
      </c>
      <c r="I5" s="273"/>
      <c r="J5" s="518" t="s">
        <v>305</v>
      </c>
      <c r="K5" s="518"/>
      <c r="L5" s="519"/>
    </row>
    <row r="6" spans="1:15" ht="16.5" customHeight="1">
      <c r="A6" s="401" t="s">
        <v>451</v>
      </c>
      <c r="B6" s="266"/>
      <c r="D6" s="267" t="e">
        <f>CHOOSE(DAY(B6),1,2,3,4,5,6,7,8,9,10,11,12,13,14,15,16,17,18,19,20,21,22,23,24,25,26,27,28,29,30,31)</f>
        <v>#VALUE!</v>
      </c>
      <c r="E6" s="268">
        <f>CHOOSE(MONTH(B6),1,2,3,4,5,6,7,8,9,10,11,12)</f>
        <v>1</v>
      </c>
      <c r="F6" s="269">
        <f>YEAR(B6)</f>
        <v>1900</v>
      </c>
      <c r="G6" s="21" t="s">
        <v>453</v>
      </c>
      <c r="H6" s="270">
        <f ca="1">TODAY()</f>
        <v>43257</v>
      </c>
      <c r="I6" s="423"/>
      <c r="J6" s="71">
        <f ca="1">CHOOSE(DAY(H6),1,2,3,4,5,6,7,8,9,10,11,12,13,14,15,16,17,18,19,20,21,22,23,24,25,26,27,28,29,30,31)</f>
        <v>6</v>
      </c>
      <c r="K6" s="71">
        <f ca="1">CHOOSE(MONTH(H6),1,2,3,4,5,6,7,8,9,10,11,12)</f>
        <v>6</v>
      </c>
      <c r="L6" s="271">
        <f ca="1">YEAR(H6)</f>
        <v>2018</v>
      </c>
    </row>
    <row r="7" spans="1:15" ht="24" customHeight="1">
      <c r="A7" s="276" t="s">
        <v>306</v>
      </c>
      <c r="B7" s="372" t="str">
        <f>IF(OR(B6=" ",B6=""),"↑ Saisir votre date sous le format JJ/MM/AAAA. ↑","")</f>
        <v>↑ Saisir votre date sous le format JJ/MM/AAAA. ↑</v>
      </c>
      <c r="D7" s="272" t="e">
        <f>+D6</f>
        <v>#VALUE!</v>
      </c>
      <c r="E7" s="71">
        <f>+E6</f>
        <v>1</v>
      </c>
      <c r="F7" s="271">
        <f ca="1">YEAR(H6)</f>
        <v>2018</v>
      </c>
      <c r="G7" s="21" t="s">
        <v>454</v>
      </c>
      <c r="H7" s="473">
        <f ca="1">ROUND((H6-B6)/365.25,2)</f>
        <v>118.43</v>
      </c>
      <c r="I7" s="82">
        <f ca="1">ROUNDDOWN(H7,0)</f>
        <v>118</v>
      </c>
      <c r="J7" s="419" t="s">
        <v>464</v>
      </c>
      <c r="K7" s="420" t="s">
        <v>465</v>
      </c>
      <c r="L7" s="421" t="s">
        <v>466</v>
      </c>
    </row>
    <row r="8" spans="1:15" ht="38.25" customHeight="1">
      <c r="A8" s="522" t="s">
        <v>434</v>
      </c>
      <c r="B8" s="520" t="str">
        <f>IF(AND(B3&lt;&gt;" ",B3&lt;&gt;"",B6&lt;&gt;""),"Accéder au sommaire","")</f>
        <v/>
      </c>
      <c r="D8" s="338" t="str">
        <f>IF(B6="","",IF(ROUND(B6+I7*365.25,0)&lt;L8,ROUND(B6+(1+I7)*365.25,0),ROUND(B6+I7*365.25,0)))</f>
        <v/>
      </c>
      <c r="E8" s="404" t="str">
        <f>IF(D8="","",IF(AND($D$8&gt;=N3,$D$8&lt;=N4),N2,IF(AND($D$8&gt;=O3,$D$8&lt;=O4),O2,IF(AND($D$8&gt;=D3,$D$8&lt;=D4),D2,IF(AND($D$8&gt;=E3,$D$8&lt;=E4),E2,IF(AND($D$8&gt;=F3,$D$8&lt;=F4),F2,IF(AND($D$8&gt;=G3,$D$8&lt;=G4),G2,IF(AND($D$8&gt;=H3,$D$8&lt;=H4),H2,IF(AND($D$8&gt;=I3,$D$8&lt;=I4),I2,IF(AND($D$8&gt;=J3,$D$8&lt;=J4),J2,IF(AND($D$8&gt;=K3,$D$8&lt;=K4),K2,IF(AND($D$8&gt;=L3,$D$8&lt;=L4),L2,IF(OR($D$8&gt;=M3,$D$8&lt;=M4),M2,"")))))))))))))</f>
        <v/>
      </c>
      <c r="F8" s="406" t="str">
        <f>IF(B6="","",IF(E6&gt;=2,VLOOKUP(F6,G11:I131,2)&amp;"  (Elèment "&amp;VLOOKUP(F6,G11:I131,3)&amp;")",VLOOKUP(F6-1,G11:I131,2)&amp;" (Elèment "&amp;VLOOKUP(F6-1,G11:I131,3)&amp;")"))</f>
        <v/>
      </c>
      <c r="G8" s="407" t="str">
        <f>IF(D8="","",IF(OR(AND($D$8&gt;=K12,$D$8&lt;=K13),AND($D$8&gt;=K14,$D$8&lt;=K15)),L12,IF(OR(AND($D$8&gt;=K16,$D$8&lt;=K17),AND($D$8&gt;=K18,$D$8&lt;=K19)),L16,IF(OR(AND($D$8&gt;=K20,$D$8&lt;=K21),AND($D$8&gt;=K22,$D$8&lt;=K23),AND($D$8&gt;=K24,$D$8&lt;=K25)),L20,IF(OR(AND($D$8&gt;=K26,$D$8&lt;=K27),AND($D$8&gt;=K28,$D$8&lt;=K29)),L26,IF(OR(AND($D$8&gt;=K30,$D$8&lt;=K31),AND($D$8&gt;=K32,$D$8&lt;=K33)),L30,IF(OR(AND($D$8&gt;=K34,$D$8&lt;=K35),AND($D$8&gt;=K36,$D$8&lt;=K37),AND($D$8&gt;=K38,$D$8&lt;=K39)),L34,IF(OR(AND($D$8&gt;=K40,$D$8&lt;=K41),AND($D$8&gt;=K42,$D$8&lt;=K43),AND($D$8&gt;=K44,$D$8&lt;=K45),AND($D$8&gt;=K46,$D$8&lt;=K47)),L40,IF(OR(AND($D$8&gt;=K48,$D$8&lt;=K49),AND($D$8&gt;=K50,$D$8&lt;=K51)),L48,IF(OR(AND($D$8&gt;=K52,$D$8&lt;=K53),AND($D$8&gt;=K54,$D$8&lt;=K55)),L52,IF(OR(AND($D$8&gt;=K56,$D$8&lt;=K57),AND($D$8&gt;=K58,$D$8&lt;=K59)),L56,IF(OR(AND($D$8&gt;=K60,$D$8&lt;=K61),AND($D$8&gt;=K62,$D$8&lt;=K63)),L60,IF(OR(AND($D$8&gt;=K64,$D$8&lt;=K65),AND($D$8&gt;=K66,$D$8&lt;=K67)),L64,"")))))))))))))</f>
        <v/>
      </c>
      <c r="H8" s="408" t="str">
        <f ca="1">IF(H7-I7=0,"Anniversaire","")</f>
        <v/>
      </c>
      <c r="I8" s="418" t="s">
        <v>456</v>
      </c>
      <c r="J8" s="267">
        <v>1900</v>
      </c>
      <c r="K8" s="268">
        <f ca="1">L6-J8</f>
        <v>118</v>
      </c>
      <c r="L8" s="424">
        <f ca="1">K8*365.25</f>
        <v>43099.5</v>
      </c>
    </row>
    <row r="9" spans="1:15" ht="15.75" customHeight="1">
      <c r="A9" s="522"/>
      <c r="B9" s="520"/>
      <c r="D9" s="277"/>
    </row>
    <row r="10" spans="1:15" ht="20.25" customHeight="1">
      <c r="A10" s="516" t="str">
        <f>SOMMAIRE!A29</f>
        <v>© Copyright 2018 - EVAINSE   
   version du : 06 juin 2018</v>
      </c>
      <c r="B10" s="517"/>
      <c r="D10" s="416"/>
      <c r="G10" s="521" t="s">
        <v>331</v>
      </c>
      <c r="H10" s="521"/>
      <c r="I10" s="521"/>
      <c r="K10" s="525" t="s">
        <v>463</v>
      </c>
      <c r="L10" s="525"/>
    </row>
    <row r="11" spans="1:15" ht="36.75" hidden="1" customHeight="1">
      <c r="D11" s="416"/>
      <c r="G11" s="405" t="s">
        <v>309</v>
      </c>
      <c r="H11" s="405" t="s">
        <v>310</v>
      </c>
      <c r="I11" s="405" t="s">
        <v>311</v>
      </c>
      <c r="K11" s="525"/>
      <c r="L11" s="525"/>
    </row>
    <row r="12" spans="1:15" ht="17.25" hidden="1" customHeight="1">
      <c r="A12" s="274"/>
      <c r="B12" s="275"/>
      <c r="G12" s="405">
        <v>1900</v>
      </c>
      <c r="H12" s="405" t="s">
        <v>312</v>
      </c>
      <c r="I12" s="405" t="s">
        <v>324</v>
      </c>
      <c r="K12" s="422">
        <f ca="1">L8+8</f>
        <v>43107.5</v>
      </c>
      <c r="L12" s="525" t="s">
        <v>332</v>
      </c>
    </row>
    <row r="13" spans="1:15" ht="15.75" hidden="1">
      <c r="A13" s="274"/>
      <c r="G13" s="405">
        <v>1901</v>
      </c>
      <c r="H13" s="405" t="s">
        <v>313</v>
      </c>
      <c r="I13" s="405" t="s">
        <v>324</v>
      </c>
      <c r="K13" s="422">
        <f ca="1">L8+21</f>
        <v>43120.5</v>
      </c>
      <c r="L13" s="525"/>
    </row>
    <row r="14" spans="1:15" ht="15.75" hidden="1">
      <c r="A14" s="274"/>
      <c r="G14" s="405">
        <v>1902</v>
      </c>
      <c r="H14" s="405" t="s">
        <v>314</v>
      </c>
      <c r="I14" s="405" t="s">
        <v>325</v>
      </c>
      <c r="K14" s="422">
        <f ca="1">L8+32</f>
        <v>43131.5</v>
      </c>
      <c r="L14" s="525"/>
    </row>
    <row r="15" spans="1:15" ht="15.75" hidden="1">
      <c r="A15" s="274"/>
      <c r="G15" s="405">
        <v>1903</v>
      </c>
      <c r="H15" s="405" t="s">
        <v>315</v>
      </c>
      <c r="I15" s="405" t="s">
        <v>325</v>
      </c>
      <c r="K15" s="422">
        <f ca="1">L8+42</f>
        <v>43141.5</v>
      </c>
      <c r="L15" s="525"/>
    </row>
    <row r="16" spans="1:15" ht="15.75" hidden="1">
      <c r="A16" s="274"/>
      <c r="G16" s="405">
        <v>1904</v>
      </c>
      <c r="H16" s="405" t="s">
        <v>316</v>
      </c>
      <c r="I16" s="405" t="s">
        <v>326</v>
      </c>
      <c r="K16" s="422">
        <f ca="1">L8+130</f>
        <v>43229.5</v>
      </c>
      <c r="L16" s="525" t="s">
        <v>333</v>
      </c>
    </row>
    <row r="17" spans="1:12" ht="15.75" hidden="1">
      <c r="A17" s="274"/>
      <c r="G17" s="405">
        <v>1905</v>
      </c>
      <c r="H17" s="405" t="s">
        <v>317</v>
      </c>
      <c r="I17" s="405" t="s">
        <v>326</v>
      </c>
      <c r="K17" s="422">
        <f ca="1">L8+148</f>
        <v>43247.5</v>
      </c>
      <c r="L17" s="525"/>
    </row>
    <row r="18" spans="1:12" ht="15.75" hidden="1">
      <c r="A18" s="274"/>
      <c r="G18" s="405">
        <v>1906</v>
      </c>
      <c r="H18" s="405" t="s">
        <v>318</v>
      </c>
      <c r="I18" s="405" t="s">
        <v>327</v>
      </c>
      <c r="K18" s="422">
        <f ca="1">L8+181</f>
        <v>43280.5</v>
      </c>
      <c r="L18" s="525"/>
    </row>
    <row r="19" spans="1:12" ht="15.75" hidden="1">
      <c r="A19" s="274"/>
      <c r="G19" s="405">
        <v>1907</v>
      </c>
      <c r="H19" s="405" t="s">
        <v>319</v>
      </c>
      <c r="I19" s="405" t="s">
        <v>327</v>
      </c>
      <c r="K19" s="422">
        <f ca="1">L8+195</f>
        <v>43294.5</v>
      </c>
      <c r="L19" s="525"/>
    </row>
    <row r="20" spans="1:12" ht="15.75" hidden="1">
      <c r="A20" s="274"/>
      <c r="G20" s="405">
        <v>1908</v>
      </c>
      <c r="H20" s="405" t="s">
        <v>320</v>
      </c>
      <c r="I20" s="405" t="s">
        <v>328</v>
      </c>
      <c r="K20" s="422">
        <f ca="1">L8+196</f>
        <v>43295.5</v>
      </c>
      <c r="L20" s="525" t="s">
        <v>334</v>
      </c>
    </row>
    <row r="21" spans="1:12" ht="15.75" hidden="1">
      <c r="A21" s="274"/>
      <c r="G21" s="405">
        <v>1909</v>
      </c>
      <c r="H21" s="405" t="s">
        <v>321</v>
      </c>
      <c r="I21" s="405" t="s">
        <v>328</v>
      </c>
      <c r="K21" s="422">
        <f ca="1">L8+210</f>
        <v>43309.5</v>
      </c>
      <c r="L21" s="525"/>
    </row>
    <row r="22" spans="1:12" ht="15.75" hidden="1">
      <c r="A22" s="274"/>
      <c r="G22" s="405">
        <v>1910</v>
      </c>
      <c r="H22" s="405" t="s">
        <v>322</v>
      </c>
      <c r="I22" s="405" t="s">
        <v>324</v>
      </c>
      <c r="K22" s="422">
        <f ca="1">L8+267</f>
        <v>43366.5</v>
      </c>
      <c r="L22" s="525"/>
    </row>
    <row r="23" spans="1:12" ht="15.75" hidden="1">
      <c r="A23" s="274"/>
      <c r="G23" s="405">
        <v>1911</v>
      </c>
      <c r="H23" s="405" t="s">
        <v>323</v>
      </c>
      <c r="I23" s="405" t="s">
        <v>324</v>
      </c>
      <c r="K23" s="422">
        <f ca="1">L8+271</f>
        <v>43370.5</v>
      </c>
      <c r="L23" s="525"/>
    </row>
    <row r="24" spans="1:12" ht="15.75" hidden="1">
      <c r="A24" s="274"/>
      <c r="G24" s="405">
        <v>1912</v>
      </c>
      <c r="H24" s="405" t="s">
        <v>312</v>
      </c>
      <c r="I24" s="405" t="s">
        <v>325</v>
      </c>
      <c r="K24" s="422">
        <f ca="1">L8+277</f>
        <v>43376.5</v>
      </c>
      <c r="L24" s="525"/>
    </row>
    <row r="25" spans="1:12" ht="15.75" hidden="1">
      <c r="A25" s="274"/>
      <c r="G25" s="405">
        <v>1913</v>
      </c>
      <c r="H25" s="405" t="s">
        <v>313</v>
      </c>
      <c r="I25" s="405" t="s">
        <v>325</v>
      </c>
      <c r="K25" s="422">
        <f ca="1">L8+291</f>
        <v>43390.5</v>
      </c>
      <c r="L25" s="525"/>
    </row>
    <row r="26" spans="1:12" ht="15.75" hidden="1">
      <c r="A26" s="274"/>
      <c r="G26" s="405">
        <v>1914</v>
      </c>
      <c r="H26" s="405" t="s">
        <v>314</v>
      </c>
      <c r="I26" s="405" t="s">
        <v>326</v>
      </c>
      <c r="K26" s="422">
        <f ca="1">L8+43</f>
        <v>43142.5</v>
      </c>
      <c r="L26" s="525" t="s">
        <v>335</v>
      </c>
    </row>
    <row r="27" spans="1:12" ht="15.75" hidden="1">
      <c r="A27" s="274"/>
      <c r="G27" s="405">
        <v>1915</v>
      </c>
      <c r="H27" s="405" t="s">
        <v>315</v>
      </c>
      <c r="I27" s="405" t="s">
        <v>326</v>
      </c>
      <c r="K27" s="422">
        <f ca="1">L8+60</f>
        <v>43159.5</v>
      </c>
      <c r="L27" s="525"/>
    </row>
    <row r="28" spans="1:12" ht="15.75" hidden="1">
      <c r="A28" s="274"/>
      <c r="G28" s="405">
        <v>1916</v>
      </c>
      <c r="H28" s="405" t="s">
        <v>316</v>
      </c>
      <c r="I28" s="405" t="s">
        <v>327</v>
      </c>
      <c r="K28" s="422">
        <f ca="1">L8+233</f>
        <v>43332.5</v>
      </c>
      <c r="L28" s="525"/>
    </row>
    <row r="29" spans="1:12" ht="15.75" hidden="1">
      <c r="A29" s="274"/>
      <c r="G29" s="405">
        <v>1917</v>
      </c>
      <c r="H29" s="405" t="s">
        <v>317</v>
      </c>
      <c r="I29" s="405" t="s">
        <v>327</v>
      </c>
      <c r="K29" s="422">
        <f ca="1">L8+244</f>
        <v>43343.5</v>
      </c>
      <c r="L29" s="525"/>
    </row>
    <row r="30" spans="1:12" ht="15.75" hidden="1">
      <c r="A30" s="274"/>
      <c r="G30" s="405">
        <v>1918</v>
      </c>
      <c r="H30" s="405" t="s">
        <v>318</v>
      </c>
      <c r="I30" s="405" t="s">
        <v>328</v>
      </c>
      <c r="K30" s="422">
        <f ca="1">L8+111</f>
        <v>43210.5</v>
      </c>
      <c r="L30" s="525" t="s">
        <v>336</v>
      </c>
    </row>
    <row r="31" spans="1:12" ht="15.75" hidden="1">
      <c r="A31" s="274"/>
      <c r="G31" s="405">
        <v>1919</v>
      </c>
      <c r="H31" s="405" t="s">
        <v>319</v>
      </c>
      <c r="I31" s="405" t="s">
        <v>328</v>
      </c>
      <c r="K31" s="422">
        <f ca="1">L8+129</f>
        <v>43228.5</v>
      </c>
      <c r="L31" s="525"/>
    </row>
    <row r="32" spans="1:12" ht="15.75" hidden="1">
      <c r="A32" s="274"/>
      <c r="G32" s="405">
        <v>1920</v>
      </c>
      <c r="H32" s="405" t="s">
        <v>320</v>
      </c>
      <c r="I32" s="405" t="s">
        <v>324</v>
      </c>
      <c r="K32" s="422">
        <f ca="1">L8+225</f>
        <v>43324.5</v>
      </c>
      <c r="L32" s="525"/>
    </row>
    <row r="33" spans="1:12" ht="15.75" hidden="1">
      <c r="A33" s="274"/>
      <c r="G33" s="405">
        <v>1921</v>
      </c>
      <c r="H33" s="405" t="s">
        <v>321</v>
      </c>
      <c r="I33" s="405" t="s">
        <v>324</v>
      </c>
      <c r="K33" s="422">
        <f ca="1">L8+232</f>
        <v>43331.5</v>
      </c>
      <c r="L33" s="525"/>
    </row>
    <row r="34" spans="1:12" ht="15.75" hidden="1">
      <c r="A34" s="274"/>
      <c r="G34" s="405">
        <v>1922</v>
      </c>
      <c r="H34" s="405" t="s">
        <v>322</v>
      </c>
      <c r="I34" s="405" t="s">
        <v>325</v>
      </c>
      <c r="K34" s="422">
        <f ca="1">L8+71</f>
        <v>43170.5</v>
      </c>
      <c r="L34" s="525" t="s">
        <v>337</v>
      </c>
    </row>
    <row r="35" spans="1:12" ht="15.75" hidden="1">
      <c r="A35" s="274"/>
      <c r="G35" s="405">
        <v>1923</v>
      </c>
      <c r="H35" s="405" t="s">
        <v>323</v>
      </c>
      <c r="I35" s="405" t="s">
        <v>325</v>
      </c>
      <c r="K35" s="422">
        <f ca="1">L8+91</f>
        <v>43190.5</v>
      </c>
      <c r="L35" s="525"/>
    </row>
    <row r="36" spans="1:12" ht="15.75" hidden="1">
      <c r="A36" s="274"/>
      <c r="G36" s="405">
        <v>1924</v>
      </c>
      <c r="H36" s="405" t="s">
        <v>312</v>
      </c>
      <c r="I36" s="405" t="s">
        <v>326</v>
      </c>
      <c r="K36" s="422">
        <f ca="1">L8+292</f>
        <v>43391.5</v>
      </c>
      <c r="L36" s="525"/>
    </row>
    <row r="37" spans="1:12" ht="15.75" hidden="1">
      <c r="A37" s="274"/>
      <c r="G37" s="405">
        <v>1925</v>
      </c>
      <c r="H37" s="405" t="s">
        <v>313</v>
      </c>
      <c r="I37" s="405" t="s">
        <v>326</v>
      </c>
      <c r="K37" s="422">
        <f ca="1">L8+303</f>
        <v>43402.5</v>
      </c>
      <c r="L37" s="525"/>
    </row>
    <row r="38" spans="1:12" ht="15.75" hidden="1">
      <c r="A38" s="274"/>
      <c r="G38" s="405">
        <v>1926</v>
      </c>
      <c r="H38" s="405" t="s">
        <v>314</v>
      </c>
      <c r="I38" s="405" t="s">
        <v>327</v>
      </c>
      <c r="K38" s="422">
        <f ca="1">L8+354</f>
        <v>43453.5</v>
      </c>
      <c r="L38" s="525"/>
    </row>
    <row r="39" spans="1:12" ht="15.75" hidden="1">
      <c r="A39" s="274"/>
      <c r="G39" s="405">
        <v>1927</v>
      </c>
      <c r="H39" s="405" t="s">
        <v>315</v>
      </c>
      <c r="I39" s="405" t="s">
        <v>327</v>
      </c>
      <c r="K39" s="422">
        <f ca="1">L8+366</f>
        <v>43465.5</v>
      </c>
      <c r="L39" s="525"/>
    </row>
    <row r="40" spans="1:12" ht="15.75" hidden="1">
      <c r="A40" s="274"/>
      <c r="G40" s="405">
        <v>1928</v>
      </c>
      <c r="H40" s="405" t="s">
        <v>316</v>
      </c>
      <c r="I40" s="405" t="s">
        <v>328</v>
      </c>
      <c r="K40" s="422">
        <f ca="1">L8+1</f>
        <v>43100.5</v>
      </c>
      <c r="L40" s="525" t="s">
        <v>338</v>
      </c>
    </row>
    <row r="41" spans="1:12" ht="15.75" hidden="1">
      <c r="A41" s="274"/>
      <c r="G41" s="405">
        <v>1929</v>
      </c>
      <c r="H41" s="405" t="s">
        <v>317</v>
      </c>
      <c r="I41" s="405" t="s">
        <v>328</v>
      </c>
      <c r="K41" s="422">
        <f ca="1">L8+7</f>
        <v>43106.5</v>
      </c>
      <c r="L41" s="525"/>
    </row>
    <row r="42" spans="1:12" ht="15.75" hidden="1">
      <c r="A42" s="274"/>
      <c r="G42" s="405">
        <v>1930</v>
      </c>
      <c r="H42" s="405" t="s">
        <v>318</v>
      </c>
      <c r="I42" s="405" t="s">
        <v>324</v>
      </c>
      <c r="K42" s="422">
        <f ca="1">L8+171</f>
        <v>43270.5</v>
      </c>
      <c r="L42" s="525"/>
    </row>
    <row r="43" spans="1:12" ht="15.75" hidden="1">
      <c r="A43" s="274"/>
      <c r="G43" s="405">
        <v>1931</v>
      </c>
      <c r="H43" s="405" t="s">
        <v>319</v>
      </c>
      <c r="I43" s="405" t="s">
        <v>324</v>
      </c>
      <c r="K43" s="422">
        <f ca="1">L8+180</f>
        <v>43279.5</v>
      </c>
      <c r="L43" s="525"/>
    </row>
    <row r="44" spans="1:12" ht="15.75" hidden="1">
      <c r="A44" s="274"/>
      <c r="G44" s="405">
        <v>1932</v>
      </c>
      <c r="H44" s="405" t="s">
        <v>320</v>
      </c>
      <c r="I44" s="405" t="s">
        <v>325</v>
      </c>
      <c r="K44" s="422">
        <f ca="1">L8+245</f>
        <v>43344.5</v>
      </c>
      <c r="L44" s="525"/>
    </row>
    <row r="45" spans="1:12" ht="15.75" hidden="1">
      <c r="A45" s="274"/>
      <c r="G45" s="405">
        <v>1933</v>
      </c>
      <c r="H45" s="405" t="s">
        <v>321</v>
      </c>
      <c r="I45" s="405" t="s">
        <v>325</v>
      </c>
      <c r="K45" s="422">
        <f ca="1">L8+251</f>
        <v>43350.5</v>
      </c>
      <c r="L45" s="525"/>
    </row>
    <row r="46" spans="1:12" ht="15.75" hidden="1">
      <c r="A46" s="274"/>
      <c r="G46" s="405">
        <v>1934</v>
      </c>
      <c r="H46" s="405" t="s">
        <v>322</v>
      </c>
      <c r="I46" s="405" t="s">
        <v>326</v>
      </c>
      <c r="K46" s="422">
        <f ca="1">L8+323</f>
        <v>43422.5</v>
      </c>
      <c r="L46" s="525"/>
    </row>
    <row r="47" spans="1:12" ht="15.75" hidden="1">
      <c r="A47" s="274"/>
      <c r="G47" s="405">
        <v>1935</v>
      </c>
      <c r="H47" s="405" t="s">
        <v>323</v>
      </c>
      <c r="I47" s="405" t="s">
        <v>326</v>
      </c>
      <c r="K47" s="422">
        <f ca="1">L8+331</f>
        <v>43430.5</v>
      </c>
      <c r="L47" s="525"/>
    </row>
    <row r="48" spans="1:12" ht="15.75" hidden="1">
      <c r="A48" s="274"/>
      <c r="G48" s="405">
        <v>1936</v>
      </c>
      <c r="H48" s="405" t="s">
        <v>312</v>
      </c>
      <c r="I48" s="405" t="s">
        <v>327</v>
      </c>
      <c r="K48" s="422">
        <f ca="1">L8+22</f>
        <v>43121.5</v>
      </c>
      <c r="L48" s="525" t="s">
        <v>339</v>
      </c>
    </row>
    <row r="49" spans="1:12" ht="15.75" hidden="1">
      <c r="A49" s="274"/>
      <c r="G49" s="405">
        <v>1937</v>
      </c>
      <c r="H49" s="405" t="s">
        <v>313</v>
      </c>
      <c r="I49" s="405" t="s">
        <v>327</v>
      </c>
      <c r="K49" s="422">
        <f ca="1">L8+31</f>
        <v>43130.5</v>
      </c>
      <c r="L49" s="525"/>
    </row>
    <row r="50" spans="1:12" ht="15.75" hidden="1">
      <c r="A50" s="274"/>
      <c r="G50" s="405">
        <v>1938</v>
      </c>
      <c r="H50" s="405" t="s">
        <v>314</v>
      </c>
      <c r="I50" s="405" t="s">
        <v>328</v>
      </c>
      <c r="K50" s="422">
        <f ca="1">L8+252</f>
        <v>43351.5</v>
      </c>
      <c r="L50" s="525"/>
    </row>
    <row r="51" spans="1:12" ht="15.75" hidden="1">
      <c r="A51" s="274"/>
      <c r="G51" s="405">
        <v>1939</v>
      </c>
      <c r="H51" s="405" t="s">
        <v>315</v>
      </c>
      <c r="I51" s="405" t="s">
        <v>328</v>
      </c>
      <c r="K51" s="422">
        <f ca="1">L8+266</f>
        <v>43365.5</v>
      </c>
      <c r="L51" s="525"/>
    </row>
    <row r="52" spans="1:12" ht="15.75" hidden="1">
      <c r="A52" s="274"/>
      <c r="G52" s="405">
        <v>1940</v>
      </c>
      <c r="H52" s="405" t="s">
        <v>316</v>
      </c>
      <c r="I52" s="405" t="s">
        <v>324</v>
      </c>
      <c r="K52" s="422">
        <f ca="1">L8+61</f>
        <v>43160.5</v>
      </c>
      <c r="L52" s="525" t="s">
        <v>340</v>
      </c>
    </row>
    <row r="53" spans="1:12" ht="15.75" hidden="1">
      <c r="A53" s="274"/>
      <c r="G53" s="405">
        <v>1941</v>
      </c>
      <c r="H53" s="405" t="s">
        <v>317</v>
      </c>
      <c r="I53" s="405" t="s">
        <v>324</v>
      </c>
      <c r="K53" s="422">
        <f ca="1">L8+70</f>
        <v>43169.5</v>
      </c>
      <c r="L53" s="525"/>
    </row>
    <row r="54" spans="1:12" ht="15.75" hidden="1">
      <c r="A54" s="274"/>
      <c r="G54" s="405">
        <v>1942</v>
      </c>
      <c r="H54" s="405" t="s">
        <v>318</v>
      </c>
      <c r="I54" s="405" t="s">
        <v>325</v>
      </c>
      <c r="K54" s="422">
        <f ca="1">L8+332</f>
        <v>43431.5</v>
      </c>
      <c r="L54" s="525"/>
    </row>
    <row r="55" spans="1:12" ht="15.75" hidden="1">
      <c r="A55" s="274"/>
      <c r="G55" s="405">
        <v>1943</v>
      </c>
      <c r="H55" s="405" t="s">
        <v>319</v>
      </c>
      <c r="I55" s="405" t="s">
        <v>325</v>
      </c>
      <c r="K55" s="422">
        <f ca="1">L8+353</f>
        <v>43452.5</v>
      </c>
      <c r="L55" s="525"/>
    </row>
    <row r="56" spans="1:12" ht="15.75" hidden="1">
      <c r="A56" s="274"/>
      <c r="G56" s="405">
        <v>1944</v>
      </c>
      <c r="H56" s="405" t="s">
        <v>320</v>
      </c>
      <c r="I56" s="405" t="s">
        <v>326</v>
      </c>
      <c r="K56" s="422">
        <f ca="1">L8+211</f>
        <v>43310.5</v>
      </c>
      <c r="L56" s="525" t="s">
        <v>341</v>
      </c>
    </row>
    <row r="57" spans="1:12" ht="15.75" hidden="1">
      <c r="A57" s="274"/>
      <c r="G57" s="405">
        <v>1945</v>
      </c>
      <c r="H57" s="405" t="s">
        <v>321</v>
      </c>
      <c r="I57" s="405" t="s">
        <v>326</v>
      </c>
      <c r="K57" s="422">
        <f ca="1">L8+224</f>
        <v>43323.5</v>
      </c>
      <c r="L57" s="525"/>
    </row>
    <row r="58" spans="1:12" ht="15.75" hidden="1">
      <c r="A58" s="274"/>
      <c r="G58" s="405">
        <v>1946</v>
      </c>
      <c r="H58" s="405" t="s">
        <v>322</v>
      </c>
      <c r="I58" s="405" t="s">
        <v>327</v>
      </c>
      <c r="K58" s="422">
        <f ca="1">L8+304</f>
        <v>43403.5</v>
      </c>
      <c r="L58" s="525"/>
    </row>
    <row r="59" spans="1:12" ht="15.75" hidden="1">
      <c r="A59" s="274"/>
      <c r="G59" s="405">
        <v>1947</v>
      </c>
      <c r="H59" s="405" t="s">
        <v>323</v>
      </c>
      <c r="I59" s="405" t="s">
        <v>327</v>
      </c>
      <c r="K59" s="422">
        <f ca="1">L8+312</f>
        <v>43411.5</v>
      </c>
      <c r="L59" s="525"/>
    </row>
    <row r="60" spans="1:12" ht="15.75" hidden="1">
      <c r="A60" s="274"/>
      <c r="G60" s="405">
        <v>1948</v>
      </c>
      <c r="H60" s="405" t="s">
        <v>312</v>
      </c>
      <c r="I60" s="405" t="s">
        <v>328</v>
      </c>
      <c r="K60" s="422">
        <f ca="1">L8+149</f>
        <v>43248.5</v>
      </c>
      <c r="L60" s="525" t="s">
        <v>342</v>
      </c>
    </row>
    <row r="61" spans="1:12" ht="15.75" hidden="1">
      <c r="A61" s="274"/>
      <c r="G61" s="405">
        <v>1949</v>
      </c>
      <c r="H61" s="405" t="s">
        <v>313</v>
      </c>
      <c r="I61" s="405" t="s">
        <v>328</v>
      </c>
      <c r="K61" s="422">
        <f ca="1">L8+170</f>
        <v>43269.5</v>
      </c>
      <c r="L61" s="525"/>
    </row>
    <row r="62" spans="1:12" ht="15.75" hidden="1">
      <c r="A62" s="274"/>
      <c r="G62" s="405">
        <v>1950</v>
      </c>
      <c r="H62" s="405" t="s">
        <v>314</v>
      </c>
      <c r="I62" s="405" t="s">
        <v>324</v>
      </c>
      <c r="K62" s="422">
        <f ca="1">L8+272</f>
        <v>43371.5</v>
      </c>
      <c r="L62" s="525"/>
    </row>
    <row r="63" spans="1:12" ht="15.75" hidden="1">
      <c r="A63" s="274"/>
      <c r="G63" s="405">
        <v>1951</v>
      </c>
      <c r="H63" s="405" t="s">
        <v>315</v>
      </c>
      <c r="I63" s="405" t="s">
        <v>324</v>
      </c>
      <c r="K63" s="422">
        <f ca="1">L8+276</f>
        <v>43375.5</v>
      </c>
      <c r="L63" s="525"/>
    </row>
    <row r="64" spans="1:12" ht="15.75" hidden="1">
      <c r="A64" s="274"/>
      <c r="G64" s="405">
        <v>1952</v>
      </c>
      <c r="H64" s="405" t="s">
        <v>316</v>
      </c>
      <c r="I64" s="405" t="s">
        <v>325</v>
      </c>
      <c r="K64" s="422">
        <f ca="1">L8+92</f>
        <v>43191.5</v>
      </c>
      <c r="L64" s="525" t="s">
        <v>343</v>
      </c>
    </row>
    <row r="65" spans="1:12" ht="15.75" hidden="1">
      <c r="A65" s="274"/>
      <c r="G65" s="405">
        <v>1953</v>
      </c>
      <c r="H65" s="405" t="s">
        <v>317</v>
      </c>
      <c r="I65" s="405" t="s">
        <v>325</v>
      </c>
      <c r="K65" s="422">
        <f ca="1">L8+110</f>
        <v>43209.5</v>
      </c>
      <c r="L65" s="525"/>
    </row>
    <row r="66" spans="1:12" ht="15.75" hidden="1">
      <c r="A66" s="274"/>
      <c r="G66" s="405">
        <v>1954</v>
      </c>
      <c r="H66" s="405" t="s">
        <v>318</v>
      </c>
      <c r="I66" s="405" t="s">
        <v>326</v>
      </c>
      <c r="K66" s="422">
        <f ca="1">L8+313</f>
        <v>43412.5</v>
      </c>
      <c r="L66" s="525"/>
    </row>
    <row r="67" spans="1:12" ht="15.75" hidden="1">
      <c r="A67" s="274"/>
      <c r="G67" s="405">
        <v>1955</v>
      </c>
      <c r="H67" s="405" t="s">
        <v>319</v>
      </c>
      <c r="I67" s="405" t="s">
        <v>326</v>
      </c>
      <c r="K67" s="422">
        <f ca="1">L8+322</f>
        <v>43421.5</v>
      </c>
      <c r="L67" s="525"/>
    </row>
    <row r="68" spans="1:12" ht="15.75" hidden="1">
      <c r="A68" s="274"/>
      <c r="G68" s="405">
        <v>1956</v>
      </c>
      <c r="H68" s="405" t="s">
        <v>320</v>
      </c>
      <c r="I68" s="405" t="s">
        <v>327</v>
      </c>
      <c r="K68" s="71"/>
      <c r="L68" s="71"/>
    </row>
    <row r="69" spans="1:12" ht="15.75" hidden="1">
      <c r="A69" s="274"/>
      <c r="G69" s="405">
        <v>1957</v>
      </c>
      <c r="H69" s="405" t="s">
        <v>321</v>
      </c>
      <c r="I69" s="405" t="s">
        <v>327</v>
      </c>
      <c r="K69" s="71"/>
      <c r="L69" s="71"/>
    </row>
    <row r="70" spans="1:12" ht="15.75" hidden="1">
      <c r="A70" s="274"/>
      <c r="G70" s="405">
        <v>1958</v>
      </c>
      <c r="H70" s="405" t="s">
        <v>322</v>
      </c>
      <c r="I70" s="405" t="s">
        <v>328</v>
      </c>
      <c r="K70" s="71"/>
      <c r="L70" s="71"/>
    </row>
    <row r="71" spans="1:12" ht="15.75" hidden="1">
      <c r="A71" s="274"/>
      <c r="G71" s="405">
        <v>1959</v>
      </c>
      <c r="H71" s="405" t="s">
        <v>323</v>
      </c>
      <c r="I71" s="405" t="s">
        <v>328</v>
      </c>
      <c r="K71" s="71"/>
      <c r="L71" s="71"/>
    </row>
    <row r="72" spans="1:12" ht="15.75" hidden="1">
      <c r="A72" s="274"/>
      <c r="G72" s="405">
        <v>1960</v>
      </c>
      <c r="H72" s="405" t="s">
        <v>312</v>
      </c>
      <c r="I72" s="405" t="s">
        <v>324</v>
      </c>
      <c r="K72" s="71"/>
      <c r="L72" s="71"/>
    </row>
    <row r="73" spans="1:12" ht="15.75" hidden="1">
      <c r="A73" s="274"/>
      <c r="G73" s="405">
        <v>1961</v>
      </c>
      <c r="H73" s="405" t="s">
        <v>313</v>
      </c>
      <c r="I73" s="405" t="s">
        <v>324</v>
      </c>
      <c r="K73" s="71"/>
      <c r="L73" s="71"/>
    </row>
    <row r="74" spans="1:12" ht="15.75" hidden="1">
      <c r="A74" s="274"/>
      <c r="G74" s="405">
        <v>1962</v>
      </c>
      <c r="H74" s="405" t="s">
        <v>314</v>
      </c>
      <c r="I74" s="405" t="s">
        <v>325</v>
      </c>
      <c r="K74" s="71"/>
      <c r="L74" s="71"/>
    </row>
    <row r="75" spans="1:12" ht="15.75" hidden="1">
      <c r="A75" s="274"/>
      <c r="G75" s="405">
        <v>1963</v>
      </c>
      <c r="H75" s="405" t="s">
        <v>315</v>
      </c>
      <c r="I75" s="405" t="s">
        <v>325</v>
      </c>
      <c r="K75" s="71"/>
      <c r="L75" s="71"/>
    </row>
    <row r="76" spans="1:12" ht="15.75" hidden="1">
      <c r="A76" s="274"/>
      <c r="G76" s="405">
        <v>1964</v>
      </c>
      <c r="H76" s="405" t="s">
        <v>316</v>
      </c>
      <c r="I76" s="405" t="s">
        <v>326</v>
      </c>
      <c r="K76" s="71"/>
      <c r="L76" s="71"/>
    </row>
    <row r="77" spans="1:12" ht="15.75" hidden="1">
      <c r="A77" s="274"/>
      <c r="G77" s="405">
        <v>1965</v>
      </c>
      <c r="H77" s="405" t="s">
        <v>317</v>
      </c>
      <c r="I77" s="405" t="s">
        <v>326</v>
      </c>
      <c r="K77" s="71"/>
      <c r="L77" s="71"/>
    </row>
    <row r="78" spans="1:12" ht="15.75" hidden="1">
      <c r="A78" s="274"/>
      <c r="G78" s="405">
        <v>1966</v>
      </c>
      <c r="H78" s="405" t="s">
        <v>318</v>
      </c>
      <c r="I78" s="405" t="s">
        <v>327</v>
      </c>
      <c r="K78" s="71"/>
      <c r="L78" s="71"/>
    </row>
    <row r="79" spans="1:12" ht="15.75" hidden="1">
      <c r="A79" s="274"/>
      <c r="G79" s="405">
        <v>1967</v>
      </c>
      <c r="H79" s="405" t="s">
        <v>319</v>
      </c>
      <c r="I79" s="405" t="s">
        <v>327</v>
      </c>
      <c r="K79" s="71"/>
      <c r="L79" s="71"/>
    </row>
    <row r="80" spans="1:12" ht="15.75" hidden="1">
      <c r="A80" s="274"/>
      <c r="G80" s="405">
        <v>1968</v>
      </c>
      <c r="H80" s="405" t="s">
        <v>320</v>
      </c>
      <c r="I80" s="405" t="s">
        <v>328</v>
      </c>
      <c r="K80" s="71"/>
      <c r="L80" s="71"/>
    </row>
    <row r="81" spans="1:12" ht="15.75" hidden="1">
      <c r="A81" s="274"/>
      <c r="G81" s="405">
        <v>1969</v>
      </c>
      <c r="H81" s="405" t="s">
        <v>321</v>
      </c>
      <c r="I81" s="405" t="s">
        <v>328</v>
      </c>
      <c r="K81" s="71"/>
      <c r="L81" s="71"/>
    </row>
    <row r="82" spans="1:12" ht="15.75" hidden="1">
      <c r="A82" s="274"/>
      <c r="G82" s="405">
        <v>1970</v>
      </c>
      <c r="H82" s="405" t="s">
        <v>322</v>
      </c>
      <c r="I82" s="405" t="s">
        <v>324</v>
      </c>
    </row>
    <row r="83" spans="1:12" ht="15.75" hidden="1">
      <c r="A83" s="274"/>
      <c r="G83" s="405">
        <v>1971</v>
      </c>
      <c r="H83" s="405" t="s">
        <v>323</v>
      </c>
      <c r="I83" s="405" t="s">
        <v>324</v>
      </c>
    </row>
    <row r="84" spans="1:12" ht="15.75" hidden="1">
      <c r="A84" s="274"/>
      <c r="G84" s="405">
        <v>1972</v>
      </c>
      <c r="H84" s="405" t="s">
        <v>312</v>
      </c>
      <c r="I84" s="405" t="s">
        <v>325</v>
      </c>
    </row>
    <row r="85" spans="1:12" ht="15.75" hidden="1">
      <c r="A85" s="274"/>
      <c r="G85" s="405">
        <v>1973</v>
      </c>
      <c r="H85" s="405" t="s">
        <v>313</v>
      </c>
      <c r="I85" s="405" t="s">
        <v>325</v>
      </c>
    </row>
    <row r="86" spans="1:12" ht="15.75" hidden="1">
      <c r="A86" s="274"/>
      <c r="G86" s="405">
        <v>1974</v>
      </c>
      <c r="H86" s="405" t="s">
        <v>314</v>
      </c>
      <c r="I86" s="405" t="s">
        <v>326</v>
      </c>
    </row>
    <row r="87" spans="1:12" ht="15.75" hidden="1">
      <c r="A87" s="274"/>
      <c r="G87" s="405">
        <v>1975</v>
      </c>
      <c r="H87" s="405" t="s">
        <v>315</v>
      </c>
      <c r="I87" s="405" t="s">
        <v>326</v>
      </c>
    </row>
    <row r="88" spans="1:12" ht="15.75" hidden="1">
      <c r="A88" s="274"/>
      <c r="G88" s="405">
        <v>1976</v>
      </c>
      <c r="H88" s="405" t="s">
        <v>316</v>
      </c>
      <c r="I88" s="405" t="s">
        <v>327</v>
      </c>
    </row>
    <row r="89" spans="1:12" ht="15.75" hidden="1">
      <c r="A89" s="274"/>
      <c r="G89" s="405">
        <v>1977</v>
      </c>
      <c r="H89" s="405" t="s">
        <v>317</v>
      </c>
      <c r="I89" s="405" t="s">
        <v>327</v>
      </c>
    </row>
    <row r="90" spans="1:12" ht="15.75" hidden="1">
      <c r="A90" s="274"/>
      <c r="G90" s="405">
        <v>1978</v>
      </c>
      <c r="H90" s="405" t="s">
        <v>318</v>
      </c>
      <c r="I90" s="405" t="s">
        <v>328</v>
      </c>
    </row>
    <row r="91" spans="1:12" ht="15.75" hidden="1">
      <c r="A91" s="274"/>
      <c r="G91" s="405">
        <v>1979</v>
      </c>
      <c r="H91" s="405" t="s">
        <v>319</v>
      </c>
      <c r="I91" s="405" t="s">
        <v>328</v>
      </c>
    </row>
    <row r="92" spans="1:12" ht="15.75" hidden="1">
      <c r="A92" s="274"/>
      <c r="G92" s="405">
        <v>1980</v>
      </c>
      <c r="H92" s="405" t="s">
        <v>320</v>
      </c>
      <c r="I92" s="405" t="s">
        <v>324</v>
      </c>
    </row>
    <row r="93" spans="1:12" ht="15.75" hidden="1">
      <c r="A93" s="274"/>
      <c r="G93" s="405">
        <v>1981</v>
      </c>
      <c r="H93" s="405" t="s">
        <v>321</v>
      </c>
      <c r="I93" s="405" t="s">
        <v>324</v>
      </c>
    </row>
    <row r="94" spans="1:12" ht="15.75" hidden="1">
      <c r="A94" s="274"/>
      <c r="G94" s="405">
        <v>1982</v>
      </c>
      <c r="H94" s="405" t="s">
        <v>322</v>
      </c>
      <c r="I94" s="405" t="s">
        <v>325</v>
      </c>
    </row>
    <row r="95" spans="1:12" ht="15.75" hidden="1">
      <c r="A95" s="274"/>
      <c r="G95" s="405">
        <v>1983</v>
      </c>
      <c r="H95" s="405" t="s">
        <v>323</v>
      </c>
      <c r="I95" s="405" t="s">
        <v>325</v>
      </c>
    </row>
    <row r="96" spans="1:12" ht="15.75" hidden="1">
      <c r="A96" s="274"/>
      <c r="G96" s="405">
        <v>1984</v>
      </c>
      <c r="H96" s="405" t="s">
        <v>312</v>
      </c>
      <c r="I96" s="405" t="s">
        <v>326</v>
      </c>
    </row>
    <row r="97" spans="1:9" ht="15.75" hidden="1">
      <c r="A97" s="274"/>
      <c r="G97" s="405">
        <v>1985</v>
      </c>
      <c r="H97" s="405" t="s">
        <v>313</v>
      </c>
      <c r="I97" s="405" t="s">
        <v>326</v>
      </c>
    </row>
    <row r="98" spans="1:9" ht="15.75" hidden="1">
      <c r="A98" s="274"/>
      <c r="G98" s="405">
        <v>1986</v>
      </c>
      <c r="H98" s="405" t="s">
        <v>314</v>
      </c>
      <c r="I98" s="405" t="s">
        <v>327</v>
      </c>
    </row>
    <row r="99" spans="1:9" ht="15.75" hidden="1">
      <c r="A99" s="274"/>
      <c r="G99" s="405">
        <v>1987</v>
      </c>
      <c r="H99" s="405" t="s">
        <v>315</v>
      </c>
      <c r="I99" s="405" t="s">
        <v>327</v>
      </c>
    </row>
    <row r="100" spans="1:9" ht="15.75" hidden="1">
      <c r="A100" s="274"/>
      <c r="G100" s="405">
        <v>1988</v>
      </c>
      <c r="H100" s="405" t="s">
        <v>316</v>
      </c>
      <c r="I100" s="405" t="s">
        <v>328</v>
      </c>
    </row>
    <row r="101" spans="1:9" ht="15.75" hidden="1">
      <c r="A101" s="274"/>
      <c r="G101" s="405">
        <v>1989</v>
      </c>
      <c r="H101" s="405" t="s">
        <v>317</v>
      </c>
      <c r="I101" s="405" t="s">
        <v>328</v>
      </c>
    </row>
    <row r="102" spans="1:9" ht="15.75" hidden="1">
      <c r="A102" s="274"/>
      <c r="G102" s="405">
        <v>1990</v>
      </c>
      <c r="H102" s="405" t="s">
        <v>318</v>
      </c>
      <c r="I102" s="405" t="s">
        <v>324</v>
      </c>
    </row>
    <row r="103" spans="1:9" ht="15.75" hidden="1">
      <c r="A103" s="274"/>
      <c r="G103" s="405">
        <v>1991</v>
      </c>
      <c r="H103" s="405" t="s">
        <v>319</v>
      </c>
      <c r="I103" s="405" t="s">
        <v>324</v>
      </c>
    </row>
    <row r="104" spans="1:9" ht="15.75" hidden="1">
      <c r="A104" s="274"/>
      <c r="G104" s="405">
        <v>1992</v>
      </c>
      <c r="H104" s="405" t="s">
        <v>320</v>
      </c>
      <c r="I104" s="405" t="s">
        <v>325</v>
      </c>
    </row>
    <row r="105" spans="1:9" ht="15.75" hidden="1">
      <c r="A105" s="274"/>
      <c r="G105" s="405">
        <v>1993</v>
      </c>
      <c r="H105" s="405" t="s">
        <v>321</v>
      </c>
      <c r="I105" s="405" t="s">
        <v>325</v>
      </c>
    </row>
    <row r="106" spans="1:9" ht="15.75" hidden="1">
      <c r="A106" s="274"/>
      <c r="G106" s="405">
        <v>1994</v>
      </c>
      <c r="H106" s="405" t="s">
        <v>322</v>
      </c>
      <c r="I106" s="405" t="s">
        <v>326</v>
      </c>
    </row>
    <row r="107" spans="1:9" ht="15.75" hidden="1">
      <c r="A107" s="274"/>
      <c r="G107" s="405">
        <v>1995</v>
      </c>
      <c r="H107" s="405" t="s">
        <v>323</v>
      </c>
      <c r="I107" s="405" t="s">
        <v>326</v>
      </c>
    </row>
    <row r="108" spans="1:9" ht="15.75" hidden="1">
      <c r="A108" s="274"/>
      <c r="G108" s="405">
        <v>1996</v>
      </c>
      <c r="H108" s="405" t="s">
        <v>312</v>
      </c>
      <c r="I108" s="405" t="s">
        <v>327</v>
      </c>
    </row>
    <row r="109" spans="1:9" ht="15.75" hidden="1">
      <c r="A109" s="274"/>
      <c r="G109" s="405">
        <v>1997</v>
      </c>
      <c r="H109" s="405" t="s">
        <v>313</v>
      </c>
      <c r="I109" s="405" t="s">
        <v>327</v>
      </c>
    </row>
    <row r="110" spans="1:9" ht="15.75" hidden="1">
      <c r="A110" s="274"/>
      <c r="G110" s="405">
        <v>1998</v>
      </c>
      <c r="H110" s="405" t="s">
        <v>314</v>
      </c>
      <c r="I110" s="405" t="s">
        <v>328</v>
      </c>
    </row>
    <row r="111" spans="1:9" ht="15.75" hidden="1">
      <c r="A111" s="274"/>
      <c r="G111" s="405">
        <v>1999</v>
      </c>
      <c r="H111" s="405" t="s">
        <v>315</v>
      </c>
      <c r="I111" s="405" t="s">
        <v>328</v>
      </c>
    </row>
    <row r="112" spans="1:9" ht="15.75" hidden="1">
      <c r="A112" s="274"/>
      <c r="G112" s="405">
        <v>2000</v>
      </c>
      <c r="H112" s="405" t="s">
        <v>316</v>
      </c>
      <c r="I112" s="405" t="s">
        <v>324</v>
      </c>
    </row>
    <row r="113" spans="1:9" ht="15.75" hidden="1">
      <c r="A113" s="274"/>
      <c r="G113" s="405">
        <v>2001</v>
      </c>
      <c r="H113" s="405" t="s">
        <v>317</v>
      </c>
      <c r="I113" s="405" t="s">
        <v>324</v>
      </c>
    </row>
    <row r="114" spans="1:9" ht="15.75" hidden="1">
      <c r="A114" s="274"/>
      <c r="G114" s="405">
        <v>2002</v>
      </c>
      <c r="H114" s="405" t="s">
        <v>318</v>
      </c>
      <c r="I114" s="405" t="s">
        <v>325</v>
      </c>
    </row>
    <row r="115" spans="1:9" ht="15.75" hidden="1">
      <c r="A115" s="274"/>
      <c r="G115" s="405">
        <v>2003</v>
      </c>
      <c r="H115" s="405" t="s">
        <v>319</v>
      </c>
      <c r="I115" s="405" t="s">
        <v>325</v>
      </c>
    </row>
    <row r="116" spans="1:9" ht="15.75" hidden="1">
      <c r="A116" s="274"/>
      <c r="G116" s="405">
        <v>2004</v>
      </c>
      <c r="H116" s="405" t="s">
        <v>320</v>
      </c>
      <c r="I116" s="405" t="s">
        <v>326</v>
      </c>
    </row>
    <row r="117" spans="1:9" ht="15.75" hidden="1">
      <c r="A117" s="274"/>
      <c r="G117" s="405">
        <v>2005</v>
      </c>
      <c r="H117" s="405" t="s">
        <v>321</v>
      </c>
      <c r="I117" s="405" t="s">
        <v>326</v>
      </c>
    </row>
    <row r="118" spans="1:9" ht="15.75" hidden="1">
      <c r="A118" s="274"/>
      <c r="G118" s="405">
        <v>2006</v>
      </c>
      <c r="H118" s="405" t="s">
        <v>322</v>
      </c>
      <c r="I118" s="405" t="s">
        <v>327</v>
      </c>
    </row>
    <row r="119" spans="1:9" ht="15.75" hidden="1">
      <c r="A119" s="274"/>
      <c r="G119" s="405">
        <v>2007</v>
      </c>
      <c r="H119" s="405" t="s">
        <v>323</v>
      </c>
      <c r="I119" s="405" t="s">
        <v>327</v>
      </c>
    </row>
    <row r="120" spans="1:9" ht="15.75" hidden="1">
      <c r="A120" s="274"/>
      <c r="G120" s="405">
        <v>2008</v>
      </c>
      <c r="H120" s="405" t="s">
        <v>312</v>
      </c>
      <c r="I120" s="405" t="s">
        <v>328</v>
      </c>
    </row>
    <row r="121" spans="1:9" ht="15.75" hidden="1">
      <c r="A121" s="274"/>
      <c r="G121" s="405">
        <v>2009</v>
      </c>
      <c r="H121" s="405" t="s">
        <v>313</v>
      </c>
      <c r="I121" s="405" t="s">
        <v>328</v>
      </c>
    </row>
    <row r="122" spans="1:9" ht="15.75" hidden="1">
      <c r="A122" s="274"/>
      <c r="G122" s="405">
        <v>2010</v>
      </c>
      <c r="H122" s="405" t="s">
        <v>314</v>
      </c>
      <c r="I122" s="405" t="s">
        <v>324</v>
      </c>
    </row>
    <row r="123" spans="1:9" ht="15.75" hidden="1">
      <c r="A123" s="274"/>
      <c r="G123" s="405">
        <v>2011</v>
      </c>
      <c r="H123" s="405" t="s">
        <v>315</v>
      </c>
      <c r="I123" s="405" t="s">
        <v>324</v>
      </c>
    </row>
    <row r="124" spans="1:9" ht="15.75" hidden="1">
      <c r="A124" s="274"/>
      <c r="G124" s="405">
        <v>2012</v>
      </c>
      <c r="H124" s="405" t="s">
        <v>316</v>
      </c>
      <c r="I124" s="405" t="s">
        <v>325</v>
      </c>
    </row>
    <row r="125" spans="1:9" ht="15.75" hidden="1">
      <c r="A125" s="274"/>
      <c r="G125" s="405">
        <v>2013</v>
      </c>
      <c r="H125" s="405" t="s">
        <v>317</v>
      </c>
      <c r="I125" s="405" t="s">
        <v>325</v>
      </c>
    </row>
    <row r="126" spans="1:9" ht="15.75" hidden="1">
      <c r="A126" s="274"/>
      <c r="G126" s="405">
        <v>2014</v>
      </c>
      <c r="H126" s="405" t="s">
        <v>318</v>
      </c>
      <c r="I126" s="405" t="s">
        <v>326</v>
      </c>
    </row>
    <row r="127" spans="1:9" ht="15.75" hidden="1">
      <c r="A127" s="274"/>
      <c r="G127" s="405">
        <v>2015</v>
      </c>
      <c r="H127" s="405" t="s">
        <v>319</v>
      </c>
      <c r="I127" s="405" t="s">
        <v>326</v>
      </c>
    </row>
    <row r="128" spans="1:9" ht="15.75" hidden="1">
      <c r="A128" s="274"/>
      <c r="G128" s="405">
        <v>2016</v>
      </c>
      <c r="H128" s="405" t="s">
        <v>320</v>
      </c>
      <c r="I128" s="405" t="s">
        <v>327</v>
      </c>
    </row>
    <row r="129" spans="1:9" ht="15.75" hidden="1">
      <c r="A129" s="274"/>
      <c r="G129" s="405">
        <v>2017</v>
      </c>
      <c r="H129" s="405" t="s">
        <v>321</v>
      </c>
      <c r="I129" s="405" t="s">
        <v>327</v>
      </c>
    </row>
    <row r="130" spans="1:9" ht="15.75" hidden="1">
      <c r="A130" s="274"/>
      <c r="G130" s="405">
        <v>2018</v>
      </c>
      <c r="H130" s="405" t="s">
        <v>322</v>
      </c>
      <c r="I130" s="405" t="s">
        <v>328</v>
      </c>
    </row>
    <row r="131" spans="1:9" ht="15.75" hidden="1">
      <c r="A131" s="274"/>
      <c r="G131" s="405">
        <v>2019</v>
      </c>
      <c r="H131" s="405" t="s">
        <v>323</v>
      </c>
      <c r="I131" s="405" t="s">
        <v>328</v>
      </c>
    </row>
    <row r="132" spans="1:9" ht="15.75" hidden="1">
      <c r="A132" s="274"/>
      <c r="G132" s="405">
        <v>2020</v>
      </c>
      <c r="H132" s="405" t="s">
        <v>312</v>
      </c>
      <c r="I132" s="405" t="s">
        <v>324</v>
      </c>
    </row>
    <row r="133" spans="1:9" hidden="1">
      <c r="G133" s="405">
        <v>2021</v>
      </c>
      <c r="H133" s="405" t="s">
        <v>313</v>
      </c>
      <c r="I133" s="405" t="s">
        <v>324</v>
      </c>
    </row>
    <row r="134" spans="1:9" hidden="1">
      <c r="G134" s="405">
        <v>2022</v>
      </c>
      <c r="H134" s="405" t="s">
        <v>314</v>
      </c>
      <c r="I134" s="405" t="s">
        <v>325</v>
      </c>
    </row>
    <row r="135" spans="1:9" hidden="1">
      <c r="G135" s="405">
        <v>2023</v>
      </c>
      <c r="H135" s="405" t="s">
        <v>315</v>
      </c>
      <c r="I135" s="405" t="s">
        <v>325</v>
      </c>
    </row>
    <row r="136" spans="1:9" hidden="1">
      <c r="G136" s="405">
        <v>2024</v>
      </c>
      <c r="H136" s="405" t="s">
        <v>316</v>
      </c>
      <c r="I136" s="405" t="s">
        <v>326</v>
      </c>
    </row>
    <row r="137" spans="1:9" hidden="1">
      <c r="G137" s="405">
        <v>2025</v>
      </c>
      <c r="H137" s="405" t="s">
        <v>317</v>
      </c>
      <c r="I137" s="405" t="s">
        <v>326</v>
      </c>
    </row>
  </sheetData>
  <sheetProtection password="8B0A" sheet="1" objects="1" scenarios="1"/>
  <mergeCells count="22">
    <mergeCell ref="L60:L63"/>
    <mergeCell ref="L64:L67"/>
    <mergeCell ref="L34:L39"/>
    <mergeCell ref="L40:L47"/>
    <mergeCell ref="L48:L51"/>
    <mergeCell ref="L52:L55"/>
    <mergeCell ref="L56:L59"/>
    <mergeCell ref="L12:L15"/>
    <mergeCell ref="L16:L19"/>
    <mergeCell ref="L20:L25"/>
    <mergeCell ref="L26:L29"/>
    <mergeCell ref="L30:L33"/>
    <mergeCell ref="A1:B1"/>
    <mergeCell ref="A10:B10"/>
    <mergeCell ref="J5:L5"/>
    <mergeCell ref="B8:B9"/>
    <mergeCell ref="G10:I10"/>
    <mergeCell ref="A8:A9"/>
    <mergeCell ref="A3:A4"/>
    <mergeCell ref="D1:O1"/>
    <mergeCell ref="K10:L11"/>
    <mergeCell ref="D5:G5"/>
  </mergeCells>
  <conditionalFormatting sqref="B3">
    <cfRule type="expression" dxfId="498" priority="6">
      <formula>$B$3=""</formula>
    </cfRule>
  </conditionalFormatting>
  <conditionalFormatting sqref="B6">
    <cfRule type="expression" dxfId="497" priority="4">
      <formula>$B$6=""</formula>
    </cfRule>
  </conditionalFormatting>
  <conditionalFormatting sqref="B12">
    <cfRule type="colorScale" priority="3">
      <colorScale>
        <cfvo type="formula" val="$B$12=0"/>
        <cfvo type="formula" val="$B$12=1"/>
        <color rgb="FF008000"/>
        <color rgb="FFFF0000"/>
      </colorScale>
    </cfRule>
  </conditionalFormatting>
  <conditionalFormatting sqref="B2">
    <cfRule type="expression" dxfId="496" priority="1">
      <formula>B12=0</formula>
    </cfRule>
    <cfRule type="expression" dxfId="495" priority="2">
      <formula>B12=1</formula>
    </cfRule>
  </conditionalFormatting>
  <hyperlinks>
    <hyperlink ref="B8" location="SOMMAIRE!A1" display="SOMMAIRE!A1"/>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sheetPr codeName="Feuil13">
    <outlinePr summaryBelow="0" summaryRight="0"/>
  </sheetPr>
  <dimension ref="A1:I36"/>
  <sheetViews>
    <sheetView showGridLines="0" showRowColHeaders="0" zoomScaleNormal="100" workbookViewId="0">
      <selection activeCell="B9" sqref="B9"/>
    </sheetView>
  </sheetViews>
  <sheetFormatPr baseColWidth="10" defaultColWidth="0" defaultRowHeight="8.25" customHeight="1" zeroHeight="1"/>
  <cols>
    <col min="1" max="1" width="4.28515625" style="437" customWidth="1"/>
    <col min="2" max="2" width="139" style="437" customWidth="1"/>
    <col min="3" max="5" width="11.42578125" style="437" customWidth="1"/>
    <col min="6" max="6" width="11.140625" style="437" hidden="1" customWidth="1"/>
    <col min="7" max="8" width="11.42578125" style="437" hidden="1" customWidth="1"/>
    <col min="9" max="9" width="11.42578125" style="437" customWidth="1"/>
    <col min="10" max="16384" width="11.42578125" style="437" hidden="1"/>
  </cols>
  <sheetData>
    <row r="1" spans="1:9" customFormat="1" ht="33.75">
      <c r="A1" s="530"/>
      <c r="B1" s="529" t="s">
        <v>136</v>
      </c>
      <c r="C1" s="529"/>
      <c r="D1" s="529"/>
      <c r="E1" s="529"/>
      <c r="F1" s="529"/>
      <c r="G1" s="51"/>
      <c r="H1" s="51"/>
      <c r="I1" s="49"/>
    </row>
    <row r="2" spans="1:9" customFormat="1" ht="24.95" hidden="1" customHeight="1">
      <c r="A2" s="530"/>
      <c r="B2" s="50"/>
      <c r="C2" s="50"/>
      <c r="D2" s="50"/>
      <c r="E2" s="50"/>
      <c r="F2" s="50"/>
      <c r="G2" s="50"/>
      <c r="H2" s="50"/>
      <c r="I2" s="50"/>
    </row>
    <row r="3" spans="1:9" customFormat="1" ht="24.95" hidden="1" customHeight="1">
      <c r="A3" s="530"/>
      <c r="B3" s="50"/>
      <c r="C3" s="50"/>
      <c r="D3" s="50"/>
      <c r="E3" s="50"/>
      <c r="F3" s="50"/>
      <c r="G3" s="50"/>
      <c r="H3" s="50"/>
      <c r="I3" s="50"/>
    </row>
    <row r="4" spans="1:9" customFormat="1" ht="273" customHeight="1">
      <c r="A4" s="530"/>
      <c r="B4" s="533" t="s">
        <v>444</v>
      </c>
      <c r="C4" s="533"/>
      <c r="D4" s="533"/>
      <c r="E4" s="533"/>
      <c r="F4" s="534" t="s">
        <v>307</v>
      </c>
      <c r="G4" s="534"/>
      <c r="H4" s="534"/>
      <c r="I4" s="534"/>
    </row>
    <row r="5" spans="1:9" ht="24.95" hidden="1" customHeight="1">
      <c r="A5" s="434"/>
      <c r="B5" s="435"/>
      <c r="C5" s="435"/>
      <c r="D5" s="435"/>
      <c r="E5" s="435"/>
      <c r="F5" s="436"/>
    </row>
    <row r="6" spans="1:9" ht="24.95" hidden="1" customHeight="1">
      <c r="A6" s="434"/>
      <c r="B6" s="531"/>
      <c r="C6" s="531"/>
      <c r="D6" s="531"/>
      <c r="E6" s="531"/>
      <c r="F6" s="531"/>
    </row>
    <row r="7" spans="1:9" ht="24.95" hidden="1" customHeight="1">
      <c r="A7" s="434"/>
      <c r="B7" s="531"/>
      <c r="C7" s="531"/>
      <c r="D7" s="531"/>
      <c r="E7" s="531"/>
      <c r="F7" s="531"/>
    </row>
    <row r="8" spans="1:9" ht="15" hidden="1" customHeight="1">
      <c r="A8" s="434"/>
      <c r="B8" s="435"/>
      <c r="C8" s="435"/>
      <c r="D8" s="435"/>
      <c r="E8" s="435"/>
      <c r="F8" s="436"/>
    </row>
    <row r="9" spans="1:9" ht="15" customHeight="1">
      <c r="A9" s="434"/>
      <c r="B9" s="438" t="s">
        <v>461</v>
      </c>
      <c r="C9" s="439"/>
      <c r="D9" s="439"/>
      <c r="E9" s="439"/>
      <c r="F9" s="439"/>
    </row>
    <row r="10" spans="1:9" ht="15" hidden="1" customHeight="1">
      <c r="A10" s="434"/>
      <c r="B10" s="440"/>
      <c r="C10" s="440"/>
      <c r="D10" s="440"/>
      <c r="E10" s="440"/>
      <c r="F10" s="441"/>
    </row>
    <row r="11" spans="1:9" ht="15" hidden="1" customHeight="1">
      <c r="A11" s="434"/>
      <c r="B11" s="532" t="s">
        <v>460</v>
      </c>
      <c r="C11" s="532"/>
      <c r="D11" s="532"/>
      <c r="E11" s="532"/>
      <c r="F11" s="532"/>
    </row>
    <row r="12" spans="1:9" ht="15" customHeight="1">
      <c r="A12" s="434"/>
      <c r="B12" s="442" t="s">
        <v>462</v>
      </c>
      <c r="C12" s="441"/>
      <c r="D12" s="441"/>
      <c r="E12" s="441"/>
      <c r="F12" s="441"/>
    </row>
    <row r="13" spans="1:9" ht="8.25" hidden="1" customHeight="1"/>
    <row r="14" spans="1:9" ht="8.25" hidden="1" customHeight="1"/>
    <row r="15" spans="1:9" ht="8.25" hidden="1" customHeight="1"/>
    <row r="16" spans="1:9" ht="8.25" hidden="1" customHeight="1"/>
    <row r="17" ht="8.25" hidden="1" customHeight="1"/>
    <row r="18" ht="8.25" hidden="1" customHeight="1"/>
    <row r="19" ht="8.25" hidden="1" customHeight="1"/>
    <row r="20" ht="8.25" hidden="1" customHeight="1"/>
    <row r="21" ht="8.25" hidden="1" customHeight="1"/>
    <row r="22" ht="8.25" hidden="1" customHeight="1"/>
    <row r="23" ht="8.25" hidden="1" customHeight="1"/>
    <row r="24" ht="8.25" hidden="1" customHeight="1"/>
    <row r="25" ht="8.25" hidden="1" customHeight="1"/>
    <row r="26" ht="8.25" hidden="1" customHeight="1"/>
    <row r="27" ht="8.25" hidden="1" customHeight="1"/>
    <row r="28" ht="8.25" hidden="1" customHeight="1"/>
    <row r="29" ht="8.25" hidden="1" customHeight="1"/>
    <row r="30" ht="8.25" hidden="1" customHeight="1"/>
    <row r="31" ht="8.25" hidden="1" customHeight="1"/>
    <row r="32" ht="8.25" hidden="1" customHeight="1"/>
    <row r="33" ht="8.25" hidden="1" customHeight="1"/>
    <row r="34" ht="8.25" hidden="1" customHeight="1"/>
    <row r="35" ht="8.25" hidden="1" customHeight="1"/>
    <row r="36" ht="8.25" hidden="1" customHeight="1"/>
  </sheetData>
  <sheetProtection password="8B0A" sheet="1" objects="1" scenarios="1"/>
  <mergeCells count="7">
    <mergeCell ref="B1:F1"/>
    <mergeCell ref="A1:A4"/>
    <mergeCell ref="B6:F6"/>
    <mergeCell ref="B7:F7"/>
    <mergeCell ref="B11:F11"/>
    <mergeCell ref="B4:E4"/>
    <mergeCell ref="F4:I4"/>
  </mergeCells>
  <hyperlinks>
    <hyperlink ref="B9" r:id="rId1"/>
    <hyperlink ref="B12" r:id="rId2"/>
  </hyperlinks>
  <pageMargins left="0.7" right="0.7" top="0.75" bottom="0.75" header="0.3" footer="0.3"/>
  <pageSetup paperSize="9" orientation="portrait" verticalDpi="0" r:id="rId3"/>
  <drawing r:id="rId4"/>
</worksheet>
</file>

<file path=xl/worksheets/sheet5.xml><?xml version="1.0" encoding="utf-8"?>
<worksheet xmlns="http://schemas.openxmlformats.org/spreadsheetml/2006/main" xmlns:r="http://schemas.openxmlformats.org/officeDocument/2006/relationships">
  <sheetPr codeName="Feuil5"/>
  <dimension ref="A1:D40"/>
  <sheetViews>
    <sheetView showRowColHeaders="0" zoomScaleNormal="100" workbookViewId="0">
      <selection sqref="A1:D1"/>
    </sheetView>
  </sheetViews>
  <sheetFormatPr baseColWidth="10" defaultColWidth="0" defaultRowHeight="15" zeroHeight="1"/>
  <cols>
    <col min="1" max="1" width="5.7109375" style="432" customWidth="1"/>
    <col min="2" max="2" width="80.7109375" style="432" customWidth="1"/>
    <col min="3" max="3" width="5.7109375" style="432" customWidth="1"/>
    <col min="4" max="4" width="79.7109375" style="432" customWidth="1"/>
    <col min="5" max="16384" width="11.42578125" style="429" hidden="1"/>
  </cols>
  <sheetData>
    <row r="1" spans="1:4" ht="36.75">
      <c r="A1" s="542" t="s">
        <v>457</v>
      </c>
      <c r="B1" s="542"/>
      <c r="C1" s="542"/>
      <c r="D1" s="542"/>
    </row>
    <row r="2" spans="1:4" ht="6" customHeight="1">
      <c r="A2" s="543"/>
      <c r="B2" s="543"/>
      <c r="C2" s="543"/>
      <c r="D2" s="543"/>
    </row>
    <row r="3" spans="1:4" s="430" customFormat="1" ht="18.75" customHeight="1">
      <c r="A3" s="539">
        <f>IF(AND(ChiffreMystère!C15="",ChiffreMystère!H15="",ChiffreMystère!M15="",ChiffreMystère!R15="",ChiffreMystère!W15="",ChiffreMystère!AB15=""),0,IF(OR(ChiffreMystère!C15="",ChiffreMystère!H15="",ChiffreMystère!M15="",ChiffreMystère!R15="",ChiffreMystère!W15="",ChiffreMystère!AB15=""),1,IF(AND(ChiffreMystère!C15&lt;&gt;"",ChiffreMystère!H15&lt;&gt;"",ChiffreMystère!M15&lt;&gt;"",ChiffreMystère!R15&lt;&gt;"",ChiffreMystère!W15&lt;&gt;"",ChiffreMystère!AB15&lt;&gt;""),2,1)))</f>
        <v>0</v>
      </c>
      <c r="B3" s="427" t="s">
        <v>90</v>
      </c>
      <c r="C3" s="539">
        <f>IF(OR(QCultureG!A1="            Questions de Cultures Générales, de Logiques et d'Enigmes.",AND(QCultureG!A1=3,PESEE!L2="oui",HEURE!F10="oui",LOGIQUE!I3="oui")),0,IF(QCultureG!A1=41,2,1))</f>
        <v>0</v>
      </c>
      <c r="D3" s="427" t="s">
        <v>487</v>
      </c>
    </row>
    <row r="4" spans="1:4" s="430" customFormat="1" ht="15" customHeight="1">
      <c r="A4" s="539"/>
      <c r="B4" s="428" t="s">
        <v>134</v>
      </c>
      <c r="C4" s="539"/>
      <c r="D4" s="428" t="str">
        <f>IF(QCultureG!A1&lt;&gt;"            Questions de Cultures Générales, de Logiques et d'Enigmes."," - 41 Questions à résoudre, Saurez-vous relever le défi ?   Votre avancée : "&amp;QCultureG!A218&amp;"/41"," - 41 Questions à résoudre, Saurez-vous relever le défi ? ")</f>
        <v xml:space="preserve"> - 41 Questions à résoudre, Saurez-vous relever le défi ? </v>
      </c>
    </row>
    <row r="5" spans="1:4" s="430" customFormat="1" ht="6" customHeight="1">
      <c r="A5" s="537"/>
      <c r="B5" s="537"/>
      <c r="C5" s="537"/>
      <c r="D5" s="537"/>
    </row>
    <row r="6" spans="1:4" s="430" customFormat="1" ht="18.75">
      <c r="A6" s="539">
        <f>IF(CarteMagique!A2="",0,IF(CarteMagique!A2=2,2,IF(CarteMagique!A2=1,1,2)))</f>
        <v>0</v>
      </c>
      <c r="B6" s="427" t="s">
        <v>17</v>
      </c>
      <c r="C6" s="539">
        <f>IF(AND('SOMMAIRE SIGNE ASTRO'!A3=0,'SOMMAIRE SIGNE ASTRO'!B3=0,'SOMMAIRE SIGNE ASTRO'!C3=0,'SOMMAIRE SIGNE ASTRO'!A12="",'SOMMAIRE SIGNE ASTRO'!B12="",'SOMMAIRE SIGNE ASTRO'!C12=""),0,IF(OR('SOMMAIRE SIGNE ASTRO'!A3=1,'SOMMAIRE SIGNE ASTRO'!B3=1,'SOMMAIRE SIGNE ASTRO'!C3=1,'SOMMAIRE SIGNE ASTRO'!A12&lt;&gt;"",'SOMMAIRE SIGNE ASTRO'!B12&lt;&gt;"",'SOMMAIRE SIGNE ASTRO'!C12&lt;&gt;""),1,IF(AND('SOMMAIRE SIGNE ASTRO'!A3=2,'SOMMAIRE SIGNE ASTRO'!B3=2,'SOMMAIRE SIGNE ASTRO'!C3=2),2,1)))</f>
        <v>0</v>
      </c>
      <c r="D6" s="427" t="s">
        <v>308</v>
      </c>
    </row>
    <row r="7" spans="1:4" s="430" customFormat="1" ht="15" customHeight="1">
      <c r="A7" s="539"/>
      <c r="B7" s="428" t="s">
        <v>106</v>
      </c>
      <c r="C7" s="539"/>
      <c r="D7" s="428" t="s">
        <v>458</v>
      </c>
    </row>
    <row r="8" spans="1:4" s="430" customFormat="1" ht="6" customHeight="1">
      <c r="A8" s="539"/>
      <c r="B8" s="539"/>
      <c r="C8" s="539"/>
      <c r="D8" s="539"/>
    </row>
    <row r="9" spans="1:4" s="430" customFormat="1" ht="18.75">
      <c r="A9" s="539">
        <f>IF(AND('SOMMAIRE AGE'!A4=0,'SOMMAIRE AGE'!A6=0),0,IF(OR('SOMMAIRE AGE'!A4=1,'SOMMAIRE AGE'!A6=1),1,IF(AND('SOMMAIRE AGE'!A4=2,'SOMMAIRE AGE'!A6=2),2,1)))</f>
        <v>0</v>
      </c>
      <c r="B9" s="427" t="s">
        <v>473</v>
      </c>
      <c r="C9" s="539">
        <f>IF(Calendrier!C8="",0,IF(Calendrier!P7="",1,IF(Calendrier!P7&lt;&gt;"",2,1)))</f>
        <v>0</v>
      </c>
      <c r="D9" s="427" t="s">
        <v>137</v>
      </c>
    </row>
    <row r="10" spans="1:4" s="430" customFormat="1" ht="15" customHeight="1">
      <c r="A10" s="539"/>
      <c r="B10" s="428" t="s">
        <v>472</v>
      </c>
      <c r="C10" s="539"/>
      <c r="D10" s="428" t="s">
        <v>154</v>
      </c>
    </row>
    <row r="11" spans="1:4" s="430" customFormat="1" ht="6" customHeight="1">
      <c r="A11" s="537"/>
      <c r="B11" s="537"/>
      <c r="C11" s="537"/>
      <c r="D11" s="537"/>
    </row>
    <row r="12" spans="1:4" s="430" customFormat="1" ht="18.75">
      <c r="A12" s="539">
        <f>IF(AND('SOMMAIRE ADDITIONS'!A4=0,'SOMMAIRE ADDITIONS'!A6=0,'SOMMAIRE ADDITIONS'!A8=0),0,IF(OR('SOMMAIRE ADDITIONS'!A4=1,'SOMMAIRE ADDITIONS'!A6=1,'SOMMAIRE ADDITIONS'!A8=1),1,IF(AND('SOMMAIRE ADDITIONS'!A4=2,'SOMMAIRE ADDITIONS'!A6=2,'SOMMAIRE ADDITIONS'!A8=2),2,1)))</f>
        <v>0</v>
      </c>
      <c r="B12" s="427" t="s">
        <v>470</v>
      </c>
      <c r="C12" s="539">
        <f>IF(AND(Révélations!D5="",Révélations!D6="",Révélations!D7="",Révélations!D8="",Révélations!D9="",Révélations!D10="",Révélations!D11="",Révélations!D12="",Révélations!D13="",Révélations!D14="",Révélations!D15="",Révélations!D16="",Révélations!D17="",Révélations!D18="",Révélations!D19="",Révélations!D20="",Révélations!D21="",Révélations!D22="",Révélations!D23="",Révélations!D24=""),0,IF(OR(Révélations!D5="",Révélations!D6="",Révélations!D7="",Révélations!D8="",Révélations!D9="",Révélations!D10="",Révélations!D11="",Révélations!D12="",Révélations!D13="",Révélations!D14="",Révélations!D15="",Révélations!D16="",Révélations!D17="",Révélations!D18="",Révélations!D19="",Révélations!D20="",Révélations!D21="",Révélations!D22="",Révélations!D23="",Révélations!D24=""),1,IF(AND(Révélations!D5&lt;&gt;"",Révélations!D6&lt;&gt;"",Révélations!D7&lt;&gt;"",Révélations!D8&lt;&gt;"",Révélations!D9&lt;&gt;"",Révélations!D10&lt;&gt;"",Révélations!D11&lt;&gt;"",Révélations!D12&lt;&gt;"",Révélations!D13&lt;&gt;"",Révélations!D14&lt;&gt;"",Révélations!D15&lt;&gt;"",Révélations!D16&lt;&gt;"",Révélations!D17&lt;&gt;"",Révélations!D18&lt;&gt;"",Révélations!D19&lt;&gt;"",Révélations!D20&lt;&gt;"",Révélations!D21&lt;&gt;"",Révélations!D22&lt;&gt;"",Révélations!D23&lt;&gt;"",Révélations!D24&lt;&gt;""),2,1)))</f>
        <v>0</v>
      </c>
      <c r="D12" s="427" t="s">
        <v>210</v>
      </c>
    </row>
    <row r="13" spans="1:4" s="430" customFormat="1" ht="15" customHeight="1">
      <c r="A13" s="539"/>
      <c r="B13" s="428" t="s">
        <v>490</v>
      </c>
      <c r="C13" s="539"/>
      <c r="D13" s="428" t="s">
        <v>234</v>
      </c>
    </row>
    <row r="14" spans="1:4" s="430" customFormat="1" ht="6" customHeight="1">
      <c r="A14" s="537"/>
      <c r="B14" s="537"/>
      <c r="C14" s="537"/>
      <c r="D14" s="537"/>
    </row>
    <row r="15" spans="1:4" s="430" customFormat="1" ht="18.75">
      <c r="A15" s="539">
        <f>IF(AND('SOMMAIRE (2)'!A4=0,'SOMMAIRE (2)'!A6=0),0,IF(OR('SOMMAIRE (2)'!A4=1,'SOMMAIRE (2)'!A6=1),1,IF(AND('SOMMAIRE (2)'!A4=2,'SOMMAIRE (2)'!A6=2),2,1)))</f>
        <v>0</v>
      </c>
      <c r="B15" s="427" t="s">
        <v>413</v>
      </c>
      <c r="C15" s="539">
        <f>IF(AND(Histoire!N33="",Histoire!O27="",Histoire!O20="",Histoire!O11="",Histoire!O5="",Histoire!C26="",Histoire!C17="",Histoire!C10=""),0,IF(OR(Histoire!N33="",Histoire!O27="",Histoire!O20="",Histoire!O11="",Histoire!O5="",Histoire!C26="",Histoire!C17="",Histoire!C10=""),1,IF(AND(Histoire!N33&lt;&gt;"",Histoire!O27&lt;&gt;"",Histoire!O20&lt;&gt;"",Histoire!O11&lt;&gt;"",Histoire!O5&lt;&gt;"",Histoire!C26&lt;&gt;"",Histoire!C17&lt;&gt;"",Histoire!C10&lt;&gt;""),2,1)))</f>
        <v>0</v>
      </c>
      <c r="D15" s="427" t="s">
        <v>278</v>
      </c>
    </row>
    <row r="16" spans="1:4" s="430" customFormat="1" ht="15" customHeight="1">
      <c r="A16" s="539"/>
      <c r="B16" s="428" t="s">
        <v>399</v>
      </c>
      <c r="C16" s="539"/>
      <c r="D16" s="428" t="s">
        <v>488</v>
      </c>
    </row>
    <row r="17" spans="1:4" s="430" customFormat="1" ht="6" customHeight="1">
      <c r="A17" s="537"/>
      <c r="B17" s="537"/>
      <c r="C17" s="537"/>
      <c r="D17" s="537"/>
    </row>
    <row r="18" spans="1:4" s="430" customFormat="1" ht="18.75">
      <c r="A18" s="539">
        <f>IF(AND(ILLUSIONS!A40=0),0,IF(AND(ILLUSIONS!A40&gt;0,ILLUSIONS!A40&lt;18),1,IF(ILLUSIONS!A40=18,2,1)))</f>
        <v>0</v>
      </c>
      <c r="B18" s="427" t="s">
        <v>429</v>
      </c>
      <c r="C18" s="540">
        <v>0</v>
      </c>
      <c r="D18" s="427" t="s">
        <v>401</v>
      </c>
    </row>
    <row r="19" spans="1:4" s="430" customFormat="1">
      <c r="A19" s="539"/>
      <c r="B19" s="428" t="s">
        <v>400</v>
      </c>
      <c r="C19" s="540"/>
      <c r="D19" s="428" t="s">
        <v>402</v>
      </c>
    </row>
    <row r="20" spans="1:4" s="430" customFormat="1" ht="6" customHeight="1">
      <c r="A20" s="537"/>
      <c r="B20" s="537"/>
      <c r="C20" s="537"/>
      <c r="D20" s="537"/>
    </row>
    <row r="21" spans="1:4" s="430" customFormat="1" ht="19.5" customHeight="1">
      <c r="A21" s="541" t="str">
        <f>IF(OR(PageBonus!A3&lt;&gt;"",PageBonus!A4&lt;&gt;"",PageBonus!B3&lt;&gt;"",PageBonus!B4&lt;&gt;"",PageBonus!C3&lt;&gt;"",PageBonus!C4&lt;&gt;"",PageBonus!D3&lt;&gt;"",PageBonus!D4&lt;&gt;"",PageBonus!A7&lt;&gt;""),"Retrouvez vos bonus débloqués en accès rapide ici","Laissez-vous tenter... &amp; sélectionnez un jeu au hasard grâce au ' ? ' ")</f>
        <v xml:space="preserve">Laissez-vous tenter... &amp; sélectionnez un jeu au hasard grâce au ' ? ' </v>
      </c>
      <c r="B21" s="541"/>
      <c r="C21" s="541"/>
      <c r="D21" s="541"/>
    </row>
    <row r="22" spans="1:4" s="430" customFormat="1" ht="14.25" hidden="1" customHeight="1">
      <c r="A22" s="536"/>
      <c r="B22" s="536"/>
      <c r="C22" s="536"/>
      <c r="D22" s="536"/>
    </row>
    <row r="23" spans="1:4" s="430" customFormat="1" ht="14.25" hidden="1" customHeight="1">
      <c r="A23" s="536"/>
      <c r="B23" s="536"/>
      <c r="C23" s="536"/>
      <c r="D23" s="536"/>
    </row>
    <row r="24" spans="1:4" s="430" customFormat="1" ht="14.25" hidden="1" customHeight="1">
      <c r="A24" s="536"/>
      <c r="B24" s="536"/>
      <c r="C24" s="536"/>
      <c r="D24" s="536"/>
    </row>
    <row r="25" spans="1:4" s="430" customFormat="1" ht="14.25" hidden="1" customHeight="1">
      <c r="A25" s="536"/>
      <c r="B25" s="536"/>
      <c r="C25" s="536"/>
      <c r="D25" s="536"/>
    </row>
    <row r="26" spans="1:4" s="430" customFormat="1" ht="14.25" hidden="1" customHeight="1">
      <c r="A26" s="536"/>
      <c r="B26" s="536"/>
      <c r="C26" s="536"/>
      <c r="D26" s="536"/>
    </row>
    <row r="27" spans="1:4" s="430" customFormat="1" ht="14.25" hidden="1" customHeight="1">
      <c r="A27" s="536"/>
      <c r="B27" s="536"/>
      <c r="C27" s="536"/>
      <c r="D27" s="536"/>
    </row>
    <row r="28" spans="1:4" s="430" customFormat="1" ht="14.25" hidden="1" customHeight="1">
      <c r="A28" s="536"/>
      <c r="B28" s="536"/>
      <c r="C28" s="536"/>
      <c r="D28" s="536"/>
    </row>
    <row r="29" spans="1:4" s="431" customFormat="1" ht="30.75" customHeight="1">
      <c r="A29" s="538" t="str">
        <f>"© Copyright 2018 - EVAINSE   
   version du : "&amp;TEXT(A30,"jj mmm aaaa")</f>
        <v>© Copyright 2018 - EVAINSE   
   version du : 06 juin 2018</v>
      </c>
      <c r="B29" s="538"/>
      <c r="C29" s="538"/>
      <c r="D29" s="538"/>
    </row>
    <row r="30" spans="1:4" ht="17.25" hidden="1" customHeight="1">
      <c r="A30" s="535">
        <v>43257</v>
      </c>
      <c r="B30" s="535"/>
      <c r="C30" s="535"/>
      <c r="D30" s="535"/>
    </row>
    <row r="31" spans="1:4" ht="15" hidden="1" customHeight="1"/>
    <row r="32" spans="1:4" ht="15" hidden="1" customHeight="1"/>
    <row r="33" spans="1:1" ht="15" hidden="1" customHeight="1"/>
    <row r="34" spans="1:1" ht="15" hidden="1" customHeight="1">
      <c r="A34" s="433"/>
    </row>
    <row r="35" spans="1:1" ht="15" hidden="1" customHeight="1">
      <c r="A35" s="433"/>
    </row>
    <row r="36" spans="1:1" ht="15" hidden="1" customHeight="1"/>
    <row r="37" spans="1:1" ht="15" hidden="1" customHeight="1"/>
    <row r="38" spans="1:1" ht="15" hidden="1" customHeight="1"/>
    <row r="39" spans="1:1" ht="15" hidden="1" customHeight="1"/>
    <row r="40" spans="1:1" hidden="1"/>
  </sheetData>
  <sheetProtection password="8B0A" sheet="1" objects="1" scenarios="1"/>
  <mergeCells count="24">
    <mergeCell ref="A9:A10"/>
    <mergeCell ref="A6:A7"/>
    <mergeCell ref="A21:D21"/>
    <mergeCell ref="A1:D1"/>
    <mergeCell ref="C3:C4"/>
    <mergeCell ref="A12:A13"/>
    <mergeCell ref="A3:A4"/>
    <mergeCell ref="A5:D5"/>
    <mergeCell ref="A11:D11"/>
    <mergeCell ref="C12:C13"/>
    <mergeCell ref="C9:C10"/>
    <mergeCell ref="C6:C7"/>
    <mergeCell ref="A2:D2"/>
    <mergeCell ref="A17:D17"/>
    <mergeCell ref="A18:A19"/>
    <mergeCell ref="A8:D8"/>
    <mergeCell ref="A30:D30"/>
    <mergeCell ref="A22:D28"/>
    <mergeCell ref="A14:D14"/>
    <mergeCell ref="A20:D20"/>
    <mergeCell ref="A29:D29"/>
    <mergeCell ref="A15:A16"/>
    <mergeCell ref="C15:C16"/>
    <mergeCell ref="C18:C19"/>
  </mergeCells>
  <conditionalFormatting sqref="C9:C10">
    <cfRule type="iconSet" priority="62">
      <iconSet iconSet="3TrafficLights2" showValue="0" reverse="1">
        <cfvo type="percent" val="0"/>
        <cfvo type="num" val="1"/>
        <cfvo type="num" val="2"/>
      </iconSet>
    </cfRule>
  </conditionalFormatting>
  <conditionalFormatting sqref="C12">
    <cfRule type="iconSet" priority="61">
      <iconSet iconSet="3TrafficLights2" showValue="0" reverse="1">
        <cfvo type="percent" val="0"/>
        <cfvo type="num" val="1"/>
        <cfvo type="num" val="2"/>
      </iconSet>
    </cfRule>
  </conditionalFormatting>
  <conditionalFormatting sqref="C11">
    <cfRule type="iconSet" priority="59">
      <iconSet iconSet="3Signs" showValue="0">
        <cfvo type="percent" val="0"/>
        <cfvo type="num" val="1"/>
        <cfvo type="num" val="2"/>
      </iconSet>
    </cfRule>
  </conditionalFormatting>
  <conditionalFormatting sqref="A20:D20 A3:A17 C3:D17 B3 B5:B17">
    <cfRule type="iconSet" priority="72">
      <iconSet iconSet="3TrafficLights2" showValue="0" reverse="1">
        <cfvo type="percent" val="0"/>
        <cfvo type="num" val="1"/>
        <cfvo type="num" val="2"/>
      </iconSet>
    </cfRule>
  </conditionalFormatting>
  <conditionalFormatting sqref="C15">
    <cfRule type="iconSet" priority="57">
      <iconSet iconSet="3TrafficLights2" showValue="0" reverse="1">
        <cfvo type="percent" val="0"/>
        <cfvo type="num" val="1"/>
        <cfvo type="num" val="2"/>
      </iconSet>
    </cfRule>
  </conditionalFormatting>
  <conditionalFormatting sqref="A21:D21">
    <cfRule type="expression" dxfId="494" priority="34">
      <formula>A21="Laissez-vous tenter... &amp; sélectionnez un jeu au hasard grâce au ' ? ' "</formula>
    </cfRule>
    <cfRule type="expression" dxfId="493" priority="56">
      <formula>$A$21&lt;&gt;""</formula>
    </cfRule>
  </conditionalFormatting>
  <conditionalFormatting sqref="A18:A19">
    <cfRule type="iconSet" priority="54">
      <iconSet iconSet="3TrafficLights2" showValue="0" reverse="1">
        <cfvo type="percent" val="0"/>
        <cfvo type="num" val="1"/>
        <cfvo type="num" val="2"/>
      </iconSet>
    </cfRule>
  </conditionalFormatting>
  <conditionalFormatting sqref="B18">
    <cfRule type="iconSet" priority="53">
      <iconSet iconSet="3TrafficLights2" showValue="0" reverse="1">
        <cfvo type="percent" val="0"/>
        <cfvo type="num" val="1"/>
        <cfvo type="num" val="2"/>
      </iconSet>
    </cfRule>
  </conditionalFormatting>
  <conditionalFormatting sqref="B18:B19">
    <cfRule type="iconSet" priority="52">
      <iconSet iconSet="3TrafficLights2" showValue="0" reverse="1">
        <cfvo type="percent" val="0"/>
        <cfvo type="num" val="1"/>
        <cfvo type="num" val="2"/>
      </iconSet>
    </cfRule>
  </conditionalFormatting>
  <conditionalFormatting sqref="D18">
    <cfRule type="iconSet" priority="51">
      <iconSet iconSet="3TrafficLights2" showValue="0" reverse="1">
        <cfvo type="percent" val="0"/>
        <cfvo type="num" val="1"/>
        <cfvo type="num" val="2"/>
      </iconSet>
    </cfRule>
  </conditionalFormatting>
  <conditionalFormatting sqref="D18:D19">
    <cfRule type="iconSet" priority="50">
      <iconSet iconSet="3TrafficLights2" showValue="0" reverse="1">
        <cfvo type="percent" val="0"/>
        <cfvo type="num" val="1"/>
        <cfvo type="num" val="2"/>
      </iconSet>
    </cfRule>
  </conditionalFormatting>
  <conditionalFormatting sqref="C18:C19">
    <cfRule type="iconSet" priority="49">
      <iconSet iconSet="3TrafficLights2" showValue="0" reverse="1">
        <cfvo type="percent" val="0"/>
        <cfvo type="num" val="1"/>
        <cfvo type="num" val="2"/>
      </iconSet>
    </cfRule>
  </conditionalFormatting>
  <conditionalFormatting sqref="C18">
    <cfRule type="iconSet" priority="48">
      <iconSet iconSet="3TrafficLights2" showValue="0" reverse="1">
        <cfvo type="percent" val="0"/>
        <cfvo type="num" val="1"/>
        <cfvo type="num" val="2"/>
      </iconSet>
    </cfRule>
  </conditionalFormatting>
  <conditionalFormatting sqref="C12:C13">
    <cfRule type="iconSet" priority="47">
      <iconSet iconSet="3TrafficLights2" showValue="0" reverse="1">
        <cfvo type="percent" val="0"/>
        <cfvo type="num" val="1"/>
        <cfvo type="num" val="2"/>
      </iconSet>
    </cfRule>
  </conditionalFormatting>
  <conditionalFormatting sqref="C15">
    <cfRule type="iconSet" priority="46">
      <iconSet iconSet="3TrafficLights2" showValue="0" reverse="1">
        <cfvo type="percent" val="0"/>
        <cfvo type="num" val="1"/>
        <cfvo type="num" val="2"/>
      </iconSet>
    </cfRule>
  </conditionalFormatting>
  <conditionalFormatting sqref="C15:C16">
    <cfRule type="iconSet" priority="45">
      <iconSet iconSet="3TrafficLights2" showValue="0" reverse="1">
        <cfvo type="percent" val="0"/>
        <cfvo type="num" val="1"/>
        <cfvo type="num" val="2"/>
      </iconSet>
    </cfRule>
  </conditionalFormatting>
  <conditionalFormatting sqref="C18:C19">
    <cfRule type="iconSet" priority="44">
      <iconSet iconSet="3TrafficLights2" showValue="0" reverse="1">
        <cfvo type="percent" val="0"/>
        <cfvo type="num" val="1"/>
        <cfvo type="num" val="2"/>
      </iconSet>
    </cfRule>
  </conditionalFormatting>
  <conditionalFormatting sqref="C18">
    <cfRule type="iconSet" priority="43">
      <iconSet iconSet="3TrafficLights2" showValue="0" reverse="1">
        <cfvo type="percent" val="0"/>
        <cfvo type="num" val="1"/>
        <cfvo type="num" val="2"/>
      </iconSet>
    </cfRule>
  </conditionalFormatting>
  <conditionalFormatting sqref="C18">
    <cfRule type="iconSet" priority="42">
      <iconSet iconSet="3TrafficLights2" showValue="0" reverse="1">
        <cfvo type="percent" val="0"/>
        <cfvo type="num" val="1"/>
        <cfvo type="num" val="2"/>
      </iconSet>
    </cfRule>
  </conditionalFormatting>
  <conditionalFormatting sqref="C18:C19">
    <cfRule type="iconSet" priority="41">
      <iconSet iconSet="3TrafficLights2" showValue="0" reverse="1">
        <cfvo type="percent" val="0"/>
        <cfvo type="num" val="1"/>
        <cfvo type="num" val="2"/>
      </iconSet>
    </cfRule>
  </conditionalFormatting>
  <conditionalFormatting sqref="A18:A19">
    <cfRule type="iconSet" priority="40">
      <iconSet iconSet="3TrafficLights2" showValue="0" reverse="1">
        <cfvo type="percent" val="0"/>
        <cfvo type="num" val="1"/>
        <cfvo type="num" val="2"/>
      </iconSet>
    </cfRule>
  </conditionalFormatting>
  <conditionalFormatting sqref="A18">
    <cfRule type="iconSet" priority="39">
      <iconSet iconSet="3TrafficLights2" showValue="0" reverse="1">
        <cfvo type="percent" val="0"/>
        <cfvo type="num" val="1"/>
        <cfvo type="num" val="2"/>
      </iconSet>
    </cfRule>
  </conditionalFormatting>
  <conditionalFormatting sqref="A18:A19">
    <cfRule type="iconSet" priority="38">
      <iconSet iconSet="3TrafficLights2" showValue="0" reverse="1">
        <cfvo type="percent" val="0"/>
        <cfvo type="num" val="1"/>
        <cfvo type="num" val="2"/>
      </iconSet>
    </cfRule>
  </conditionalFormatting>
  <conditionalFormatting sqref="A18">
    <cfRule type="iconSet" priority="37">
      <iconSet iconSet="3TrafficLights2" showValue="0" reverse="1">
        <cfvo type="percent" val="0"/>
        <cfvo type="num" val="1"/>
        <cfvo type="num" val="2"/>
      </iconSet>
    </cfRule>
  </conditionalFormatting>
  <conditionalFormatting sqref="A18">
    <cfRule type="iconSet" priority="36">
      <iconSet iconSet="3TrafficLights2" showValue="0" reverse="1">
        <cfvo type="percent" val="0"/>
        <cfvo type="num" val="1"/>
        <cfvo type="num" val="2"/>
      </iconSet>
    </cfRule>
  </conditionalFormatting>
  <conditionalFormatting sqref="A18:A19">
    <cfRule type="iconSet" priority="35">
      <iconSet iconSet="3TrafficLights2" showValue="0" reverse="1">
        <cfvo type="percent" val="0"/>
        <cfvo type="num" val="1"/>
        <cfvo type="num" val="2"/>
      </iconSet>
    </cfRule>
  </conditionalFormatting>
  <conditionalFormatting sqref="B4">
    <cfRule type="iconSet" priority="33">
      <iconSet iconSet="3TrafficLights2" showValue="0" reverse="1">
        <cfvo type="percent" val="0"/>
        <cfvo type="num" val="1"/>
        <cfvo type="num" val="2"/>
      </iconSet>
    </cfRule>
  </conditionalFormatting>
  <conditionalFormatting sqref="D18">
    <cfRule type="iconSet" priority="32">
      <iconSet iconSet="3TrafficLights2" showValue="0" reverse="1">
        <cfvo type="percent" val="0"/>
        <cfvo type="num" val="1"/>
        <cfvo type="num" val="2"/>
      </iconSet>
    </cfRule>
  </conditionalFormatting>
  <conditionalFormatting sqref="D15">
    <cfRule type="iconSet" priority="31">
      <iconSet iconSet="3TrafficLights2" showValue="0" reverse="1">
        <cfvo type="percent" val="0"/>
        <cfvo type="num" val="1"/>
        <cfvo type="num" val="2"/>
      </iconSet>
    </cfRule>
  </conditionalFormatting>
  <conditionalFormatting sqref="D15">
    <cfRule type="iconSet" priority="30">
      <iconSet iconSet="3TrafficLights2" showValue="0" reverse="1">
        <cfvo type="percent" val="0"/>
        <cfvo type="num" val="1"/>
        <cfvo type="num" val="2"/>
      </iconSet>
    </cfRule>
  </conditionalFormatting>
  <conditionalFormatting sqref="D15">
    <cfRule type="iconSet" priority="29">
      <iconSet iconSet="3TrafficLights2" showValue="0" reverse="1">
        <cfvo type="percent" val="0"/>
        <cfvo type="num" val="1"/>
        <cfvo type="num" val="2"/>
      </iconSet>
    </cfRule>
  </conditionalFormatting>
  <conditionalFormatting sqref="D9">
    <cfRule type="iconSet" priority="28">
      <iconSet iconSet="3TrafficLights2" showValue="0" reverse="1">
        <cfvo type="percent" val="0"/>
        <cfvo type="num" val="1"/>
        <cfvo type="num" val="2"/>
      </iconSet>
    </cfRule>
  </conditionalFormatting>
  <conditionalFormatting sqref="D9">
    <cfRule type="iconSet" priority="27">
      <iconSet iconSet="3TrafficLights2" showValue="0" reverse="1">
        <cfvo type="percent" val="0"/>
        <cfvo type="num" val="1"/>
        <cfvo type="num" val="2"/>
      </iconSet>
    </cfRule>
  </conditionalFormatting>
  <conditionalFormatting sqref="D9">
    <cfRule type="iconSet" priority="26">
      <iconSet iconSet="3TrafficLights2" showValue="0" reverse="1">
        <cfvo type="percent" val="0"/>
        <cfvo type="num" val="1"/>
        <cfvo type="num" val="2"/>
      </iconSet>
    </cfRule>
  </conditionalFormatting>
  <conditionalFormatting sqref="D6">
    <cfRule type="iconSet" priority="25">
      <iconSet iconSet="3TrafficLights2" showValue="0" reverse="1">
        <cfvo type="percent" val="0"/>
        <cfvo type="num" val="1"/>
        <cfvo type="num" val="2"/>
      </iconSet>
    </cfRule>
  </conditionalFormatting>
  <conditionalFormatting sqref="D6">
    <cfRule type="iconSet" priority="24">
      <iconSet iconSet="3TrafficLights2" showValue="0" reverse="1">
        <cfvo type="percent" val="0"/>
        <cfvo type="num" val="1"/>
        <cfvo type="num" val="2"/>
      </iconSet>
    </cfRule>
  </conditionalFormatting>
  <conditionalFormatting sqref="D6">
    <cfRule type="iconSet" priority="23">
      <iconSet iconSet="3TrafficLights2" showValue="0" reverse="1">
        <cfvo type="percent" val="0"/>
        <cfvo type="num" val="1"/>
        <cfvo type="num" val="2"/>
      </iconSet>
    </cfRule>
  </conditionalFormatting>
  <conditionalFormatting sqref="D3">
    <cfRule type="iconSet" priority="22">
      <iconSet iconSet="3TrafficLights2" showValue="0" reverse="1">
        <cfvo type="percent" val="0"/>
        <cfvo type="num" val="1"/>
        <cfvo type="num" val="2"/>
      </iconSet>
    </cfRule>
  </conditionalFormatting>
  <conditionalFormatting sqref="D3">
    <cfRule type="iconSet" priority="21">
      <iconSet iconSet="3TrafficLights2" showValue="0" reverse="1">
        <cfvo type="percent" val="0"/>
        <cfvo type="num" val="1"/>
        <cfvo type="num" val="2"/>
      </iconSet>
    </cfRule>
  </conditionalFormatting>
  <conditionalFormatting sqref="D3">
    <cfRule type="iconSet" priority="20">
      <iconSet iconSet="3TrafficLights2" showValue="0" reverse="1">
        <cfvo type="percent" val="0"/>
        <cfvo type="num" val="1"/>
        <cfvo type="num" val="2"/>
      </iconSet>
    </cfRule>
  </conditionalFormatting>
  <conditionalFormatting sqref="B3">
    <cfRule type="iconSet" priority="19">
      <iconSet iconSet="3TrafficLights2" showValue="0" reverse="1">
        <cfvo type="percent" val="0"/>
        <cfvo type="num" val="1"/>
        <cfvo type="num" val="2"/>
      </iconSet>
    </cfRule>
  </conditionalFormatting>
  <conditionalFormatting sqref="B3">
    <cfRule type="iconSet" priority="18">
      <iconSet iconSet="3TrafficLights2" showValue="0" reverse="1">
        <cfvo type="percent" val="0"/>
        <cfvo type="num" val="1"/>
        <cfvo type="num" val="2"/>
      </iconSet>
    </cfRule>
  </conditionalFormatting>
  <conditionalFormatting sqref="B3">
    <cfRule type="iconSet" priority="17">
      <iconSet iconSet="3TrafficLights2" showValue="0" reverse="1">
        <cfvo type="percent" val="0"/>
        <cfvo type="num" val="1"/>
        <cfvo type="num" val="2"/>
      </iconSet>
    </cfRule>
  </conditionalFormatting>
  <conditionalFormatting sqref="B6">
    <cfRule type="iconSet" priority="16">
      <iconSet iconSet="3TrafficLights2" showValue="0" reverse="1">
        <cfvo type="percent" val="0"/>
        <cfvo type="num" val="1"/>
        <cfvo type="num" val="2"/>
      </iconSet>
    </cfRule>
  </conditionalFormatting>
  <conditionalFormatting sqref="B6">
    <cfRule type="iconSet" priority="15">
      <iconSet iconSet="3TrafficLights2" showValue="0" reverse="1">
        <cfvo type="percent" val="0"/>
        <cfvo type="num" val="1"/>
        <cfvo type="num" val="2"/>
      </iconSet>
    </cfRule>
  </conditionalFormatting>
  <conditionalFormatting sqref="B6">
    <cfRule type="iconSet" priority="14">
      <iconSet iconSet="3TrafficLights2" showValue="0" reverse="1">
        <cfvo type="percent" val="0"/>
        <cfvo type="num" val="1"/>
        <cfvo type="num" val="2"/>
      </iconSet>
    </cfRule>
  </conditionalFormatting>
  <conditionalFormatting sqref="B9">
    <cfRule type="iconSet" priority="13">
      <iconSet iconSet="3TrafficLights2" showValue="0" reverse="1">
        <cfvo type="percent" val="0"/>
        <cfvo type="num" val="1"/>
        <cfvo type="num" val="2"/>
      </iconSet>
    </cfRule>
  </conditionalFormatting>
  <conditionalFormatting sqref="B9">
    <cfRule type="iconSet" priority="12">
      <iconSet iconSet="3TrafficLights2" showValue="0" reverse="1">
        <cfvo type="percent" val="0"/>
        <cfvo type="num" val="1"/>
        <cfvo type="num" val="2"/>
      </iconSet>
    </cfRule>
  </conditionalFormatting>
  <conditionalFormatting sqref="B9">
    <cfRule type="iconSet" priority="11">
      <iconSet iconSet="3TrafficLights2" showValue="0" reverse="1">
        <cfvo type="percent" val="0"/>
        <cfvo type="num" val="1"/>
        <cfvo type="num" val="2"/>
      </iconSet>
    </cfRule>
  </conditionalFormatting>
  <conditionalFormatting sqref="B12">
    <cfRule type="iconSet" priority="10">
      <iconSet iconSet="3TrafficLights2" showValue="0" reverse="1">
        <cfvo type="percent" val="0"/>
        <cfvo type="num" val="1"/>
        <cfvo type="num" val="2"/>
      </iconSet>
    </cfRule>
  </conditionalFormatting>
  <conditionalFormatting sqref="B12">
    <cfRule type="iconSet" priority="9">
      <iconSet iconSet="3TrafficLights2" showValue="0" reverse="1">
        <cfvo type="percent" val="0"/>
        <cfvo type="num" val="1"/>
        <cfvo type="num" val="2"/>
      </iconSet>
    </cfRule>
  </conditionalFormatting>
  <conditionalFormatting sqref="B12">
    <cfRule type="iconSet" priority="8">
      <iconSet iconSet="3TrafficLights2" showValue="0" reverse="1">
        <cfvo type="percent" val="0"/>
        <cfvo type="num" val="1"/>
        <cfvo type="num" val="2"/>
      </iconSet>
    </cfRule>
  </conditionalFormatting>
  <conditionalFormatting sqref="B15">
    <cfRule type="iconSet" priority="7">
      <iconSet iconSet="3TrafficLights2" showValue="0" reverse="1">
        <cfvo type="percent" val="0"/>
        <cfvo type="num" val="1"/>
        <cfvo type="num" val="2"/>
      </iconSet>
    </cfRule>
  </conditionalFormatting>
  <conditionalFormatting sqref="B15">
    <cfRule type="iconSet" priority="6">
      <iconSet iconSet="3TrafficLights2" showValue="0" reverse="1">
        <cfvo type="percent" val="0"/>
        <cfvo type="num" val="1"/>
        <cfvo type="num" val="2"/>
      </iconSet>
    </cfRule>
  </conditionalFormatting>
  <conditionalFormatting sqref="B15">
    <cfRule type="iconSet" priority="5">
      <iconSet iconSet="3TrafficLights2" showValue="0" reverse="1">
        <cfvo type="percent" val="0"/>
        <cfvo type="num" val="1"/>
        <cfvo type="num" val="2"/>
      </iconSet>
    </cfRule>
  </conditionalFormatting>
  <conditionalFormatting sqref="B18">
    <cfRule type="iconSet" priority="4">
      <iconSet iconSet="3TrafficLights2" showValue="0" reverse="1">
        <cfvo type="percent" val="0"/>
        <cfvo type="num" val="1"/>
        <cfvo type="num" val="2"/>
      </iconSet>
    </cfRule>
  </conditionalFormatting>
  <conditionalFormatting sqref="B18">
    <cfRule type="iconSet" priority="3">
      <iconSet iconSet="3TrafficLights2" showValue="0" reverse="1">
        <cfvo type="percent" val="0"/>
        <cfvo type="num" val="1"/>
        <cfvo type="num" val="2"/>
      </iconSet>
    </cfRule>
  </conditionalFormatting>
  <conditionalFormatting sqref="B18">
    <cfRule type="iconSet" priority="2">
      <iconSet iconSet="3TrafficLights2" showValue="0" reverse="1">
        <cfvo type="percent" val="0"/>
        <cfvo type="num" val="1"/>
        <cfvo type="num" val="2"/>
      </iconSet>
    </cfRule>
  </conditionalFormatting>
  <conditionalFormatting sqref="B18">
    <cfRule type="iconSet" priority="1">
      <iconSet iconSet="3TrafficLights2" showValue="0" reverse="1">
        <cfvo type="percent" val="0"/>
        <cfvo type="num" val="1"/>
        <cfvo type="num" val="2"/>
      </iconSet>
    </cfRule>
  </conditionalFormatting>
  <hyperlinks>
    <hyperlink ref="C18:C19" r:id="rId1" display="http://www.ouverture-facile.com/plug/jeu.html"/>
  </hyperlinks>
  <pageMargins left="0.7" right="0.7" top="0.75" bottom="0.75" header="0.3" footer="0.3"/>
  <pageSetup paperSize="9" orientation="portrait" r:id="rId2"/>
  <drawing r:id="rId3"/>
</worksheet>
</file>

<file path=xl/worksheets/sheet6.xml><?xml version="1.0" encoding="utf-8"?>
<worksheet xmlns="http://schemas.openxmlformats.org/spreadsheetml/2006/main" xmlns:r="http://schemas.openxmlformats.org/officeDocument/2006/relationships">
  <sheetPr codeName="Feuil27"/>
  <dimension ref="A1:B6"/>
  <sheetViews>
    <sheetView showGridLines="0" showRowColHeaders="0" workbookViewId="0">
      <selection activeCell="A2" sqref="A2"/>
    </sheetView>
  </sheetViews>
  <sheetFormatPr baseColWidth="10" defaultColWidth="0" defaultRowHeight="15" zeroHeight="1"/>
  <cols>
    <col min="1" max="1" width="146.28515625" customWidth="1"/>
    <col min="2" max="16384" width="11.42578125" style="437" hidden="1"/>
  </cols>
  <sheetData>
    <row r="1" spans="1:2" ht="31.5" customHeight="1">
      <c r="A1" s="384" t="s">
        <v>432</v>
      </c>
      <c r="B1" s="429" t="s">
        <v>295</v>
      </c>
    </row>
    <row r="2" spans="1:2" ht="39" customHeight="1">
      <c r="A2" s="382" t="s">
        <v>433</v>
      </c>
      <c r="B2" s="429"/>
    </row>
    <row r="3" spans="1:2" ht="32.25" customHeight="1">
      <c r="A3" s="385" t="s">
        <v>435</v>
      </c>
      <c r="B3" s="429"/>
    </row>
    <row r="4" spans="1:2" ht="42" customHeight="1">
      <c r="A4" s="383" t="s">
        <v>437</v>
      </c>
      <c r="B4" s="429"/>
    </row>
    <row r="5" spans="1:2" hidden="1">
      <c r="A5" s="544" t="s">
        <v>436</v>
      </c>
      <c r="B5" s="429"/>
    </row>
    <row r="6" spans="1:2" ht="14.25" hidden="1" customHeight="1">
      <c r="A6" s="544"/>
      <c r="B6" s="429"/>
    </row>
  </sheetData>
  <sheetProtection password="8B0A" sheet="1" objects="1" scenarios="1"/>
  <mergeCells count="1">
    <mergeCell ref="A5:A6"/>
  </mergeCells>
  <hyperlinks>
    <hyperlink ref="A2" r:id="rId1"/>
  </hyperlinks>
  <pageMargins left="0.7" right="0.7" top="0.75" bottom="0.75" header="0.3" footer="0.3"/>
  <pageSetup paperSize="9" orientation="portrait" r:id="rId2"/>
  <drawing r:id="rId3"/>
</worksheet>
</file>

<file path=xl/worksheets/sheet7.xml><?xml version="1.0" encoding="utf-8"?>
<worksheet xmlns="http://schemas.openxmlformats.org/spreadsheetml/2006/main" xmlns:r="http://schemas.openxmlformats.org/officeDocument/2006/relationships">
  <sheetPr codeName="Feuil24"/>
  <dimension ref="A1:E7"/>
  <sheetViews>
    <sheetView showGridLines="0" showRowColHeaders="0" workbookViewId="0">
      <selection activeCell="D4" sqref="D4"/>
    </sheetView>
  </sheetViews>
  <sheetFormatPr baseColWidth="10" defaultColWidth="0" defaultRowHeight="15" zeroHeight="1"/>
  <cols>
    <col min="1" max="4" width="34.7109375" style="21" customWidth="1"/>
    <col min="5" max="16384" width="11.42578125" style="21" hidden="1"/>
  </cols>
  <sheetData>
    <row r="1" spans="1:5" ht="36">
      <c r="A1" s="545" t="s">
        <v>296</v>
      </c>
      <c r="B1" s="545"/>
      <c r="C1" s="545"/>
      <c r="D1" s="545"/>
      <c r="E1" s="21" t="s">
        <v>295</v>
      </c>
    </row>
    <row r="2" spans="1:5" ht="67.5" customHeight="1">
      <c r="A2" s="399"/>
      <c r="B2" s="548" t="str">
        <f>IF(B6="","Toutes mes félicitations pour avoir débloqué cette page.                       Vous avez donc découvert au moins un des bonus cachés !!                               A vous de jouer, il reste surement d'autres pages cachées à trouver !! 
","Félicitations, vous avez débloqué tous les bonus !                                     ")</f>
        <v xml:space="preserve">Toutes mes félicitations pour avoir débloqué cette page.                       Vous avez donc découvert au moins un des bonus cachés !!                               A vous de jouer, il reste surement d'autres pages cachées à trouver !! 
</v>
      </c>
      <c r="C2" s="548"/>
      <c r="D2" s="256" t="str">
        <f>"Vous avez débloqué :           "&amp;IF(A3&lt;&gt;"",1,0)+IF(A4&lt;&gt;"",1,0)+IF(B3&lt;&gt;"",1,0)+IF(B4&lt;&gt;"",1,0)+IF(C3&lt;&gt;"",1,0)+IF(C4&lt;&gt;"",1,0)+IF(D3&lt;&gt;"",1,0)+IF(D4&lt;&gt;"",1,0)+IF(B6&lt;&gt;"",1,0)+IF(A7&lt;&gt;"",1,0)&amp;"  Bonus   / 10 "</f>
        <v xml:space="preserve">Vous avez débloqué :           0  Bonus   / 10 </v>
      </c>
    </row>
    <row r="3" spans="1:5" ht="18.75">
      <c r="A3" s="370" t="str">
        <f>IF(LOGIQUE!I3="oui","Suites Logiques","")</f>
        <v/>
      </c>
      <c r="B3" s="370" t="str">
        <f>IF(PESEE!L2="oui","La Pesée","")</f>
        <v/>
      </c>
      <c r="C3" s="370" t="str">
        <f>IF(HEURE!F10="oui","L'Heure","")</f>
        <v/>
      </c>
      <c r="D3" s="370" t="str">
        <f>IF(Table9!D2="oui","Table de 9","")</f>
        <v/>
      </c>
    </row>
    <row r="4" spans="1:5" ht="18.75">
      <c r="A4" s="370" t="str">
        <f>IF('Theme Astral'!C1="oui","Votre Thème Astral","")</f>
        <v/>
      </c>
      <c r="B4" s="370" t="str">
        <f>IF('Signe Chinois'!C1="oui","Votre Signe Chinois","")</f>
        <v/>
      </c>
      <c r="C4" s="370" t="str">
        <f>IF('Signe Egyptien'!C1="oui","Votre Signe Egyptien","")</f>
        <v/>
      </c>
      <c r="D4" s="370" t="str">
        <f>IF(Table11!B2="oui","Table de 11","")</f>
        <v/>
      </c>
    </row>
    <row r="5" spans="1:5" ht="21">
      <c r="A5" s="369"/>
      <c r="B5" s="369"/>
      <c r="C5" s="369"/>
      <c r="D5" s="369"/>
    </row>
    <row r="6" spans="1:5" ht="18.75">
      <c r="A6" s="255"/>
      <c r="B6" s="546" t="str">
        <f>IF(AND(A3&lt;&gt;"",A4&lt;&gt;"",B3&lt;&gt;"",B4&lt;&gt;"",C3&lt;&gt;"",C4&lt;&gt;"",D3&lt;&gt;"",D4&lt;&gt;""),"~~ SUPER BONUS DEBLOQUÉ ~~","")</f>
        <v/>
      </c>
      <c r="C6" s="546"/>
      <c r="D6" s="255"/>
    </row>
    <row r="7" spans="1:5" ht="10.5" customHeight="1">
      <c r="A7" s="547" t="str">
        <f>IF(AND(B6&lt;&gt;"",'SOMMAIRE SIGNE ASTRO'!B14="Le 23 Septembre 1988"),"Code d'accès aux données VBA:  XLS0923   ",IF('SOMMAIRE SIGNE ASTRO'!B14="Le 23 Septembre 1988","Code d'accès aux données VBA:  *******  (Nécessite de débloquer les autres bonus)",""))</f>
        <v/>
      </c>
      <c r="B7" s="547"/>
      <c r="C7" s="547"/>
      <c r="D7" s="547"/>
    </row>
  </sheetData>
  <sheetProtection password="8B0A" sheet="1" objects="1" scenarios="1"/>
  <mergeCells count="4">
    <mergeCell ref="A1:D1"/>
    <mergeCell ref="B6:C6"/>
    <mergeCell ref="A7:D7"/>
    <mergeCell ref="B2:C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codeName="Feuil26"/>
  <dimension ref="A1:C4"/>
  <sheetViews>
    <sheetView showGridLines="0" showRowColHeaders="0" workbookViewId="0">
      <selection activeCell="A5" sqref="A5:XFD1048576"/>
    </sheetView>
  </sheetViews>
  <sheetFormatPr baseColWidth="10" defaultColWidth="0" defaultRowHeight="15" zeroHeight="1"/>
  <cols>
    <col min="1" max="1" width="81.7109375" style="21" customWidth="1"/>
    <col min="2" max="2" width="11.42578125" hidden="1" customWidth="1"/>
    <col min="3" max="3" width="2" hidden="1" customWidth="1"/>
    <col min="4" max="16384" width="11.42578125" hidden="1"/>
  </cols>
  <sheetData>
    <row r="1" spans="1:1" ht="32.25" customHeight="1">
      <c r="A1" s="374" t="s">
        <v>298</v>
      </c>
    </row>
    <row r="2" spans="1:1" ht="132.75" customHeight="1">
      <c r="A2" s="376" t="s">
        <v>415</v>
      </c>
    </row>
    <row r="3" spans="1:1" ht="291" customHeight="1">
      <c r="A3" s="375" t="s">
        <v>438</v>
      </c>
    </row>
    <row r="4" spans="1:1" ht="15.75">
      <c r="A4" s="377" t="s">
        <v>299</v>
      </c>
    </row>
  </sheetData>
  <sheetProtection password="8B0A" sheet="1" objects="1" scenarios="1"/>
  <pageMargins left="0.7" right="0.7" top="0.75" bottom="0.75" header="0.3" footer="0.3"/>
  <pageSetup paperSize="9" orientation="portrait" verticalDpi="0" r:id="rId1"/>
  <drawing r:id="rId2"/>
  <legacyDrawing r:id="rId3"/>
  <controls>
    <control shapeId="24579" r:id="rId4" name="CheckBox1"/>
  </controls>
</worksheet>
</file>

<file path=xl/worksheets/sheet9.xml><?xml version="1.0" encoding="utf-8"?>
<worksheet xmlns="http://schemas.openxmlformats.org/spreadsheetml/2006/main" xmlns:r="http://schemas.openxmlformats.org/officeDocument/2006/relationships">
  <sheetPr codeName="Feuil25"/>
  <dimension ref="A6:A239"/>
  <sheetViews>
    <sheetView showGridLines="0" showRowColHeaders="0" topLeftCell="A210" workbookViewId="0">
      <selection activeCell="B156" sqref="B156"/>
    </sheetView>
  </sheetViews>
  <sheetFormatPr baseColWidth="10" defaultRowHeight="15"/>
  <cols>
    <col min="1" max="1" width="18.5703125" bestFit="1" customWidth="1"/>
    <col min="2" max="2" width="81.140625" bestFit="1" customWidth="1"/>
    <col min="3" max="3" width="18.5703125" customWidth="1"/>
    <col min="4" max="4" width="81.140625" customWidth="1"/>
    <col min="5" max="5" width="3" bestFit="1" customWidth="1"/>
    <col min="6" max="6" width="10.7109375" bestFit="1" customWidth="1"/>
    <col min="7" max="7" width="5" bestFit="1" customWidth="1"/>
    <col min="8" max="8" width="10.7109375" bestFit="1" customWidth="1"/>
    <col min="9" max="9" width="86.28515625" customWidth="1"/>
    <col min="10" max="10" width="13.85546875" bestFit="1" customWidth="1"/>
    <col min="12" max="12" width="10.7109375" bestFit="1" customWidth="1"/>
    <col min="15" max="15" width="255.5703125" customWidth="1"/>
  </cols>
  <sheetData>
    <row r="6" ht="16.5" customHeight="1"/>
    <row r="239" ht="409.5" customHeight="1"/>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sheetPr codeName="Feuil1">
    <tabColor rgb="FFFFC000"/>
  </sheetPr>
  <dimension ref="A1:AE46"/>
  <sheetViews>
    <sheetView showGridLines="0" showRowColHeaders="0" workbookViewId="0">
      <selection activeCell="C15" sqref="C15:D15"/>
    </sheetView>
  </sheetViews>
  <sheetFormatPr baseColWidth="10" defaultColWidth="0" defaultRowHeight="15" zeroHeight="1"/>
  <cols>
    <col min="1" max="1" width="7.5703125" style="7" customWidth="1"/>
    <col min="2" max="3" width="4.28515625" style="7" customWidth="1"/>
    <col min="4" max="5" width="4.28515625" style="7" bestFit="1" customWidth="1"/>
    <col min="6" max="6" width="7.7109375" style="7" customWidth="1"/>
    <col min="7" max="10" width="4.28515625" style="7" bestFit="1" customWidth="1"/>
    <col min="11" max="11" width="7.7109375" style="7" customWidth="1"/>
    <col min="12" max="15" width="4.28515625" style="7" bestFit="1" customWidth="1"/>
    <col min="16" max="16" width="7.7109375" style="7" customWidth="1"/>
    <col min="17" max="20" width="4.42578125" style="7" customWidth="1"/>
    <col min="21" max="21" width="7.7109375" style="7" customWidth="1"/>
    <col min="22" max="25" width="4.42578125" style="7" customWidth="1"/>
    <col min="26" max="26" width="7.7109375" style="7" customWidth="1"/>
    <col min="27" max="30" width="4.42578125" style="7" customWidth="1"/>
    <col min="31" max="31" width="7.85546875" style="7" customWidth="1"/>
    <col min="32" max="16384" width="11.42578125" style="7" hidden="1"/>
  </cols>
  <sheetData>
    <row r="1" spans="1:31" ht="46.5" customHeight="1">
      <c r="A1" s="555" t="s">
        <v>90</v>
      </c>
      <c r="B1" s="555"/>
      <c r="C1" s="555"/>
      <c r="D1" s="555"/>
      <c r="E1" s="555"/>
      <c r="F1" s="555"/>
      <c r="G1" s="555"/>
      <c r="H1" s="555"/>
      <c r="I1" s="555"/>
      <c r="J1" s="555"/>
      <c r="K1" s="555"/>
      <c r="L1" s="555"/>
      <c r="M1" s="555"/>
      <c r="N1" s="555"/>
      <c r="O1" s="555"/>
      <c r="P1" s="555"/>
      <c r="Q1" s="555"/>
      <c r="R1" s="555"/>
      <c r="S1" s="555"/>
      <c r="T1" s="555"/>
      <c r="U1" s="555"/>
      <c r="V1" s="555"/>
      <c r="W1" s="555"/>
      <c r="X1" s="555"/>
      <c r="Y1" s="555"/>
      <c r="Z1" s="555"/>
      <c r="AA1" s="555"/>
      <c r="AB1" s="555"/>
      <c r="AC1" s="555"/>
      <c r="AD1" s="555"/>
      <c r="AE1" s="555"/>
    </row>
    <row r="2" spans="1:31" ht="15" customHeight="1">
      <c r="A2" s="550"/>
      <c r="B2" s="550"/>
      <c r="C2" s="550"/>
      <c r="D2" s="550"/>
      <c r="E2" s="550"/>
      <c r="F2" s="550"/>
      <c r="G2" s="550"/>
      <c r="H2" s="550"/>
      <c r="I2" s="550"/>
      <c r="J2" s="550"/>
      <c r="K2" s="550"/>
      <c r="L2" s="550"/>
      <c r="M2" s="550"/>
      <c r="N2" s="550"/>
      <c r="O2" s="550"/>
      <c r="P2" s="550"/>
      <c r="Q2" s="550"/>
      <c r="R2" s="550"/>
      <c r="S2" s="550"/>
      <c r="T2" s="550"/>
      <c r="U2" s="550"/>
      <c r="V2" s="550"/>
      <c r="W2" s="550"/>
      <c r="X2" s="550"/>
      <c r="Y2" s="550"/>
      <c r="Z2" s="550"/>
      <c r="AA2" s="550"/>
      <c r="AB2" s="550"/>
      <c r="AC2" s="550"/>
      <c r="AD2" s="550"/>
      <c r="AE2" s="550"/>
    </row>
    <row r="3" spans="1:31" ht="15" customHeight="1">
      <c r="A3" s="550"/>
      <c r="B3" s="550"/>
      <c r="C3" s="550"/>
      <c r="D3" s="550"/>
      <c r="E3" s="550"/>
      <c r="F3" s="550"/>
      <c r="G3" s="550"/>
      <c r="H3" s="550"/>
      <c r="I3" s="550"/>
      <c r="J3" s="550"/>
      <c r="K3" s="550"/>
      <c r="L3" s="550"/>
      <c r="M3" s="550"/>
      <c r="N3" s="550"/>
      <c r="O3" s="550"/>
      <c r="P3" s="550"/>
      <c r="Q3" s="550"/>
      <c r="R3" s="550"/>
      <c r="S3" s="550"/>
      <c r="T3" s="550"/>
      <c r="U3" s="550"/>
      <c r="V3" s="550"/>
      <c r="W3" s="550"/>
      <c r="X3" s="550"/>
      <c r="Y3" s="550"/>
      <c r="Z3" s="550"/>
      <c r="AA3" s="550"/>
      <c r="AB3" s="550"/>
      <c r="AC3" s="550"/>
      <c r="AD3" s="550"/>
      <c r="AE3" s="550"/>
    </row>
    <row r="4" spans="1:31" ht="33.75" customHeight="1">
      <c r="A4" s="550"/>
      <c r="B4" s="550"/>
      <c r="C4" s="550"/>
      <c r="D4" s="550"/>
      <c r="E4" s="550"/>
      <c r="F4" s="550"/>
      <c r="G4" s="550"/>
      <c r="H4" s="550"/>
      <c r="I4" s="550"/>
      <c r="J4" s="550"/>
      <c r="K4" s="550"/>
      <c r="L4" s="550"/>
      <c r="M4" s="550"/>
      <c r="N4" s="550"/>
      <c r="O4" s="550"/>
      <c r="P4" s="550"/>
      <c r="Q4" s="550"/>
      <c r="R4" s="550"/>
      <c r="S4" s="550"/>
      <c r="T4" s="550"/>
      <c r="U4" s="550"/>
      <c r="V4" s="550"/>
      <c r="W4" s="550"/>
      <c r="X4" s="550"/>
      <c r="Y4" s="550"/>
      <c r="Z4" s="550"/>
      <c r="AA4" s="550"/>
      <c r="AB4" s="550"/>
      <c r="AC4" s="550"/>
      <c r="AD4" s="550"/>
      <c r="AE4" s="550"/>
    </row>
    <row r="5" spans="1:31" ht="15.75" customHeight="1" thickBot="1">
      <c r="A5" s="550"/>
      <c r="B5" s="550"/>
      <c r="C5" s="550"/>
      <c r="D5" s="550"/>
      <c r="E5" s="550"/>
      <c r="F5" s="550"/>
      <c r="G5" s="550"/>
      <c r="H5" s="550"/>
      <c r="I5" s="550"/>
      <c r="J5" s="550"/>
      <c r="K5" s="550"/>
      <c r="L5" s="550"/>
      <c r="M5" s="550"/>
      <c r="N5" s="550"/>
      <c r="O5" s="550"/>
      <c r="P5" s="550"/>
      <c r="Q5" s="550"/>
      <c r="R5" s="550"/>
      <c r="S5" s="550"/>
      <c r="T5" s="550"/>
      <c r="U5" s="550"/>
      <c r="V5" s="550"/>
      <c r="W5" s="550"/>
      <c r="X5" s="550"/>
      <c r="Y5" s="550"/>
      <c r="Z5" s="550"/>
      <c r="AA5" s="550"/>
      <c r="AB5" s="550"/>
      <c r="AC5" s="550"/>
      <c r="AD5" s="550"/>
      <c r="AE5" s="550"/>
    </row>
    <row r="6" spans="1:31" ht="18" customHeight="1">
      <c r="A6" s="550"/>
      <c r="B6" s="317">
        <v>1</v>
      </c>
      <c r="C6" s="318">
        <v>3</v>
      </c>
      <c r="D6" s="318">
        <v>5</v>
      </c>
      <c r="E6" s="319">
        <v>7</v>
      </c>
      <c r="F6" s="551"/>
      <c r="G6" s="290">
        <v>2</v>
      </c>
      <c r="H6" s="291">
        <v>3</v>
      </c>
      <c r="I6" s="291">
        <v>6</v>
      </c>
      <c r="J6" s="292">
        <v>7</v>
      </c>
      <c r="K6" s="551"/>
      <c r="L6" s="281">
        <v>4</v>
      </c>
      <c r="M6" s="282">
        <v>5</v>
      </c>
      <c r="N6" s="282">
        <v>6</v>
      </c>
      <c r="O6" s="283">
        <v>7</v>
      </c>
      <c r="P6" s="551"/>
      <c r="Q6" s="308">
        <v>8</v>
      </c>
      <c r="R6" s="309">
        <v>9</v>
      </c>
      <c r="S6" s="309">
        <v>10</v>
      </c>
      <c r="T6" s="310">
        <v>11</v>
      </c>
      <c r="U6" s="551"/>
      <c r="V6" s="299">
        <v>16</v>
      </c>
      <c r="W6" s="300">
        <v>17</v>
      </c>
      <c r="X6" s="300">
        <v>18</v>
      </c>
      <c r="Y6" s="301">
        <v>19</v>
      </c>
      <c r="Z6" s="551"/>
      <c r="AA6" s="326">
        <v>32</v>
      </c>
      <c r="AB6" s="327">
        <v>33</v>
      </c>
      <c r="AC6" s="327">
        <v>34</v>
      </c>
      <c r="AD6" s="328">
        <v>35</v>
      </c>
      <c r="AE6" s="551"/>
    </row>
    <row r="7" spans="1:31" ht="18" customHeight="1">
      <c r="A7" s="550"/>
      <c r="B7" s="320">
        <v>9</v>
      </c>
      <c r="C7" s="321">
        <v>11</v>
      </c>
      <c r="D7" s="321">
        <v>13</v>
      </c>
      <c r="E7" s="322">
        <v>15</v>
      </c>
      <c r="F7" s="551"/>
      <c r="G7" s="293">
        <v>10</v>
      </c>
      <c r="H7" s="294">
        <v>11</v>
      </c>
      <c r="I7" s="294">
        <v>14</v>
      </c>
      <c r="J7" s="295">
        <v>15</v>
      </c>
      <c r="K7" s="551"/>
      <c r="L7" s="284">
        <v>12</v>
      </c>
      <c r="M7" s="285">
        <v>13</v>
      </c>
      <c r="N7" s="285">
        <v>14</v>
      </c>
      <c r="O7" s="286">
        <v>15</v>
      </c>
      <c r="P7" s="551"/>
      <c r="Q7" s="311">
        <v>12</v>
      </c>
      <c r="R7" s="312">
        <v>13</v>
      </c>
      <c r="S7" s="312">
        <v>14</v>
      </c>
      <c r="T7" s="313">
        <v>15</v>
      </c>
      <c r="U7" s="551"/>
      <c r="V7" s="302">
        <v>20</v>
      </c>
      <c r="W7" s="303">
        <v>21</v>
      </c>
      <c r="X7" s="303">
        <v>22</v>
      </c>
      <c r="Y7" s="304">
        <v>23</v>
      </c>
      <c r="Z7" s="551"/>
      <c r="AA7" s="329">
        <v>36</v>
      </c>
      <c r="AB7" s="330">
        <v>37</v>
      </c>
      <c r="AC7" s="330">
        <v>38</v>
      </c>
      <c r="AD7" s="331">
        <v>39</v>
      </c>
      <c r="AE7" s="551"/>
    </row>
    <row r="8" spans="1:31" ht="18" customHeight="1">
      <c r="A8" s="550"/>
      <c r="B8" s="320">
        <v>17</v>
      </c>
      <c r="C8" s="321">
        <v>19</v>
      </c>
      <c r="D8" s="321">
        <v>21</v>
      </c>
      <c r="E8" s="322">
        <v>23</v>
      </c>
      <c r="F8" s="551"/>
      <c r="G8" s="293">
        <v>18</v>
      </c>
      <c r="H8" s="294">
        <v>19</v>
      </c>
      <c r="I8" s="294">
        <v>22</v>
      </c>
      <c r="J8" s="295">
        <v>23</v>
      </c>
      <c r="K8" s="551"/>
      <c r="L8" s="284">
        <v>20</v>
      </c>
      <c r="M8" s="285">
        <v>21</v>
      </c>
      <c r="N8" s="285">
        <v>22</v>
      </c>
      <c r="O8" s="286">
        <v>23</v>
      </c>
      <c r="P8" s="551"/>
      <c r="Q8" s="311">
        <v>24</v>
      </c>
      <c r="R8" s="312">
        <v>25</v>
      </c>
      <c r="S8" s="312">
        <v>26</v>
      </c>
      <c r="T8" s="313">
        <v>27</v>
      </c>
      <c r="U8" s="551"/>
      <c r="V8" s="302">
        <v>24</v>
      </c>
      <c r="W8" s="303">
        <v>25</v>
      </c>
      <c r="X8" s="303">
        <v>26</v>
      </c>
      <c r="Y8" s="304">
        <v>27</v>
      </c>
      <c r="Z8" s="551"/>
      <c r="AA8" s="329">
        <v>40</v>
      </c>
      <c r="AB8" s="330">
        <v>41</v>
      </c>
      <c r="AC8" s="330">
        <v>42</v>
      </c>
      <c r="AD8" s="331">
        <v>43</v>
      </c>
      <c r="AE8" s="551"/>
    </row>
    <row r="9" spans="1:31" ht="18" customHeight="1">
      <c r="A9" s="550"/>
      <c r="B9" s="320">
        <v>25</v>
      </c>
      <c r="C9" s="321">
        <v>27</v>
      </c>
      <c r="D9" s="321">
        <v>29</v>
      </c>
      <c r="E9" s="322">
        <v>31</v>
      </c>
      <c r="F9" s="551"/>
      <c r="G9" s="293">
        <v>26</v>
      </c>
      <c r="H9" s="294">
        <v>27</v>
      </c>
      <c r="I9" s="294">
        <v>30</v>
      </c>
      <c r="J9" s="295">
        <v>31</v>
      </c>
      <c r="K9" s="551"/>
      <c r="L9" s="284">
        <v>28</v>
      </c>
      <c r="M9" s="285">
        <v>29</v>
      </c>
      <c r="N9" s="285">
        <v>30</v>
      </c>
      <c r="O9" s="286">
        <v>31</v>
      </c>
      <c r="P9" s="551"/>
      <c r="Q9" s="311">
        <v>28</v>
      </c>
      <c r="R9" s="312">
        <v>29</v>
      </c>
      <c r="S9" s="312">
        <v>30</v>
      </c>
      <c r="T9" s="313">
        <v>31</v>
      </c>
      <c r="U9" s="551"/>
      <c r="V9" s="302">
        <v>28</v>
      </c>
      <c r="W9" s="303">
        <v>29</v>
      </c>
      <c r="X9" s="303">
        <v>30</v>
      </c>
      <c r="Y9" s="304">
        <v>31</v>
      </c>
      <c r="Z9" s="551"/>
      <c r="AA9" s="329">
        <v>44</v>
      </c>
      <c r="AB9" s="330">
        <v>45</v>
      </c>
      <c r="AC9" s="330">
        <v>46</v>
      </c>
      <c r="AD9" s="331">
        <v>47</v>
      </c>
      <c r="AE9" s="551"/>
    </row>
    <row r="10" spans="1:31" ht="18" customHeight="1">
      <c r="A10" s="550"/>
      <c r="B10" s="320">
        <v>33</v>
      </c>
      <c r="C10" s="321">
        <v>35</v>
      </c>
      <c r="D10" s="321">
        <v>37</v>
      </c>
      <c r="E10" s="322">
        <v>39</v>
      </c>
      <c r="F10" s="551"/>
      <c r="G10" s="293">
        <v>34</v>
      </c>
      <c r="H10" s="294">
        <v>35</v>
      </c>
      <c r="I10" s="294">
        <v>38</v>
      </c>
      <c r="J10" s="295">
        <v>39</v>
      </c>
      <c r="K10" s="551"/>
      <c r="L10" s="284">
        <v>36</v>
      </c>
      <c r="M10" s="285">
        <v>37</v>
      </c>
      <c r="N10" s="285">
        <v>38</v>
      </c>
      <c r="O10" s="286">
        <v>39</v>
      </c>
      <c r="P10" s="551"/>
      <c r="Q10" s="311">
        <v>40</v>
      </c>
      <c r="R10" s="312">
        <v>41</v>
      </c>
      <c r="S10" s="312">
        <v>42</v>
      </c>
      <c r="T10" s="313">
        <v>43</v>
      </c>
      <c r="U10" s="551"/>
      <c r="V10" s="302">
        <v>48</v>
      </c>
      <c r="W10" s="303">
        <v>49</v>
      </c>
      <c r="X10" s="303">
        <v>50</v>
      </c>
      <c r="Y10" s="304">
        <v>51</v>
      </c>
      <c r="Z10" s="551"/>
      <c r="AA10" s="329">
        <v>48</v>
      </c>
      <c r="AB10" s="330">
        <v>49</v>
      </c>
      <c r="AC10" s="330">
        <v>50</v>
      </c>
      <c r="AD10" s="331">
        <v>51</v>
      </c>
      <c r="AE10" s="551"/>
    </row>
    <row r="11" spans="1:31" ht="18" customHeight="1">
      <c r="A11" s="550"/>
      <c r="B11" s="320">
        <v>41</v>
      </c>
      <c r="C11" s="321">
        <v>43</v>
      </c>
      <c r="D11" s="321">
        <v>45</v>
      </c>
      <c r="E11" s="322">
        <v>47</v>
      </c>
      <c r="F11" s="551"/>
      <c r="G11" s="293">
        <v>42</v>
      </c>
      <c r="H11" s="294">
        <v>43</v>
      </c>
      <c r="I11" s="294">
        <v>46</v>
      </c>
      <c r="J11" s="295">
        <v>47</v>
      </c>
      <c r="K11" s="551"/>
      <c r="L11" s="284">
        <v>44</v>
      </c>
      <c r="M11" s="285">
        <v>45</v>
      </c>
      <c r="N11" s="285">
        <v>46</v>
      </c>
      <c r="O11" s="286">
        <v>47</v>
      </c>
      <c r="P11" s="551"/>
      <c r="Q11" s="311">
        <v>44</v>
      </c>
      <c r="R11" s="312">
        <v>45</v>
      </c>
      <c r="S11" s="312">
        <v>46</v>
      </c>
      <c r="T11" s="313">
        <v>47</v>
      </c>
      <c r="U11" s="551"/>
      <c r="V11" s="302">
        <v>52</v>
      </c>
      <c r="W11" s="303">
        <v>53</v>
      </c>
      <c r="X11" s="303">
        <v>54</v>
      </c>
      <c r="Y11" s="304">
        <v>55</v>
      </c>
      <c r="Z11" s="551"/>
      <c r="AA11" s="329">
        <v>52</v>
      </c>
      <c r="AB11" s="330">
        <v>53</v>
      </c>
      <c r="AC11" s="330">
        <v>54</v>
      </c>
      <c r="AD11" s="331">
        <v>55</v>
      </c>
      <c r="AE11" s="551"/>
    </row>
    <row r="12" spans="1:31" ht="18" customHeight="1">
      <c r="A12" s="550"/>
      <c r="B12" s="320">
        <v>49</v>
      </c>
      <c r="C12" s="321">
        <v>51</v>
      </c>
      <c r="D12" s="321">
        <v>53</v>
      </c>
      <c r="E12" s="322">
        <v>55</v>
      </c>
      <c r="F12" s="551"/>
      <c r="G12" s="293">
        <v>50</v>
      </c>
      <c r="H12" s="294">
        <v>51</v>
      </c>
      <c r="I12" s="294">
        <v>54</v>
      </c>
      <c r="J12" s="295">
        <v>55</v>
      </c>
      <c r="K12" s="551"/>
      <c r="L12" s="284">
        <v>52</v>
      </c>
      <c r="M12" s="285">
        <v>53</v>
      </c>
      <c r="N12" s="285">
        <v>54</v>
      </c>
      <c r="O12" s="286">
        <v>55</v>
      </c>
      <c r="P12" s="551"/>
      <c r="Q12" s="311">
        <v>56</v>
      </c>
      <c r="R12" s="312">
        <v>57</v>
      </c>
      <c r="S12" s="312">
        <v>58</v>
      </c>
      <c r="T12" s="313">
        <v>59</v>
      </c>
      <c r="U12" s="551"/>
      <c r="V12" s="302">
        <v>56</v>
      </c>
      <c r="W12" s="303">
        <v>57</v>
      </c>
      <c r="X12" s="303">
        <v>58</v>
      </c>
      <c r="Y12" s="304">
        <v>59</v>
      </c>
      <c r="Z12" s="551"/>
      <c r="AA12" s="329">
        <v>56</v>
      </c>
      <c r="AB12" s="330">
        <v>57</v>
      </c>
      <c r="AC12" s="330">
        <v>58</v>
      </c>
      <c r="AD12" s="331">
        <v>59</v>
      </c>
      <c r="AE12" s="551"/>
    </row>
    <row r="13" spans="1:31" ht="18.75" customHeight="1" thickBot="1">
      <c r="A13" s="550"/>
      <c r="B13" s="323">
        <v>57</v>
      </c>
      <c r="C13" s="324">
        <v>59</v>
      </c>
      <c r="D13" s="324">
        <v>61</v>
      </c>
      <c r="E13" s="325">
        <v>63</v>
      </c>
      <c r="F13" s="551"/>
      <c r="G13" s="296">
        <v>58</v>
      </c>
      <c r="H13" s="297">
        <v>59</v>
      </c>
      <c r="I13" s="297">
        <v>62</v>
      </c>
      <c r="J13" s="298">
        <v>63</v>
      </c>
      <c r="K13" s="551"/>
      <c r="L13" s="287">
        <v>60</v>
      </c>
      <c r="M13" s="288">
        <v>61</v>
      </c>
      <c r="N13" s="288">
        <v>62</v>
      </c>
      <c r="O13" s="289">
        <v>63</v>
      </c>
      <c r="P13" s="551"/>
      <c r="Q13" s="314">
        <v>60</v>
      </c>
      <c r="R13" s="315">
        <v>61</v>
      </c>
      <c r="S13" s="315">
        <v>62</v>
      </c>
      <c r="T13" s="316">
        <v>63</v>
      </c>
      <c r="U13" s="551"/>
      <c r="V13" s="305">
        <v>60</v>
      </c>
      <c r="W13" s="306">
        <v>61</v>
      </c>
      <c r="X13" s="306">
        <v>62</v>
      </c>
      <c r="Y13" s="307">
        <v>63</v>
      </c>
      <c r="Z13" s="551"/>
      <c r="AA13" s="332">
        <v>60</v>
      </c>
      <c r="AB13" s="333">
        <v>61</v>
      </c>
      <c r="AC13" s="333">
        <v>62</v>
      </c>
      <c r="AD13" s="334">
        <v>63</v>
      </c>
      <c r="AE13" s="551"/>
    </row>
    <row r="14" spans="1:31" ht="15" customHeight="1">
      <c r="A14" s="550"/>
      <c r="B14" s="550"/>
      <c r="C14" s="550"/>
      <c r="D14" s="550"/>
      <c r="E14" s="550"/>
      <c r="F14" s="550"/>
      <c r="G14" s="550"/>
      <c r="H14" s="550"/>
      <c r="I14" s="550"/>
      <c r="J14" s="550"/>
      <c r="K14" s="550"/>
      <c r="L14" s="550"/>
      <c r="M14" s="550"/>
      <c r="N14" s="550"/>
      <c r="O14" s="550"/>
      <c r="P14" s="550"/>
      <c r="Q14" s="550"/>
      <c r="R14" s="550"/>
      <c r="S14" s="550"/>
      <c r="T14" s="550"/>
      <c r="U14" s="550"/>
      <c r="V14" s="550"/>
      <c r="W14" s="550"/>
      <c r="X14" s="550"/>
      <c r="Y14" s="550"/>
      <c r="Z14" s="550"/>
      <c r="AA14" s="550"/>
      <c r="AB14" s="550"/>
      <c r="AC14" s="550"/>
      <c r="AD14" s="550"/>
      <c r="AE14" s="550"/>
    </row>
    <row r="15" spans="1:31" ht="15" customHeight="1">
      <c r="A15" s="550"/>
      <c r="B15" s="141"/>
      <c r="C15" s="552"/>
      <c r="D15" s="553"/>
      <c r="E15" s="556"/>
      <c r="F15" s="550"/>
      <c r="G15" s="557"/>
      <c r="H15" s="552"/>
      <c r="I15" s="553"/>
      <c r="J15" s="556"/>
      <c r="K15" s="550"/>
      <c r="L15" s="557"/>
      <c r="M15" s="552"/>
      <c r="N15" s="553"/>
      <c r="O15" s="556"/>
      <c r="P15" s="550"/>
      <c r="Q15" s="557"/>
      <c r="R15" s="552"/>
      <c r="S15" s="553"/>
      <c r="T15" s="556"/>
      <c r="U15" s="550"/>
      <c r="V15" s="557"/>
      <c r="W15" s="552"/>
      <c r="X15" s="553"/>
      <c r="Y15" s="556"/>
      <c r="Z15" s="550"/>
      <c r="AA15" s="557"/>
      <c r="AB15" s="552"/>
      <c r="AC15" s="553"/>
      <c r="AD15" s="556"/>
      <c r="AE15" s="550"/>
    </row>
    <row r="16" spans="1:31" ht="15" customHeight="1">
      <c r="A16" s="550"/>
      <c r="B16" s="550"/>
      <c r="C16" s="550"/>
      <c r="D16" s="550"/>
      <c r="E16" s="550"/>
      <c r="F16" s="550"/>
      <c r="G16" s="550"/>
      <c r="H16" s="550"/>
      <c r="I16" s="550"/>
      <c r="J16" s="550"/>
      <c r="K16" s="550"/>
      <c r="L16" s="550"/>
      <c r="M16" s="550"/>
      <c r="N16" s="550"/>
      <c r="O16" s="550"/>
      <c r="P16" s="550"/>
      <c r="Q16" s="550"/>
      <c r="R16" s="550"/>
      <c r="S16" s="550"/>
      <c r="T16" s="550"/>
      <c r="U16" s="550"/>
      <c r="V16" s="550"/>
      <c r="W16" s="550"/>
      <c r="X16" s="550"/>
      <c r="Y16" s="550"/>
      <c r="Z16" s="550"/>
      <c r="AA16" s="550"/>
      <c r="AB16" s="550"/>
      <c r="AC16" s="550"/>
      <c r="AD16" s="550"/>
      <c r="AE16" s="550"/>
    </row>
    <row r="17" spans="1:31" ht="18" customHeight="1">
      <c r="A17" s="550"/>
      <c r="B17" s="550"/>
      <c r="C17" s="550"/>
      <c r="D17" s="550"/>
      <c r="E17" s="550"/>
      <c r="F17" s="550"/>
      <c r="G17" s="554" t="str">
        <f>IF(OR(C15="",H15="",M15="",R15="",W15="",AB15=""),"",IF(IF(C15="oui",B6,0)+IF(H15="oui",G6,0)+IF(M15="oui",L6,0)+IF(R15="oui",Q6,0)+IF(W15="oui",V6,0)+IF(AB15="oui",AA6,0)&gt;10,"Votre nombre est le : ","Votre chiffre est le : ")&amp;IF(C15="oui",B6,0)+IF(H15="oui",G6,0)+IF(M15="oui",L6,0)+IF(R15="oui",Q6,0)+IF(W15="oui",V6,0)+IF(AB15="oui",AA6,0))</f>
        <v/>
      </c>
      <c r="H17" s="554"/>
      <c r="I17" s="554"/>
      <c r="J17" s="554"/>
      <c r="K17" s="554"/>
      <c r="L17" s="554"/>
      <c r="M17" s="554"/>
      <c r="N17" s="554"/>
      <c r="O17" s="554"/>
      <c r="P17" s="554"/>
      <c r="Q17" s="554"/>
      <c r="R17" s="554"/>
      <c r="S17" s="554"/>
      <c r="T17" s="554"/>
      <c r="U17" s="554"/>
      <c r="V17" s="554"/>
      <c r="W17" s="554"/>
      <c r="X17" s="554"/>
      <c r="Y17" s="554"/>
      <c r="Z17" s="554"/>
      <c r="AA17" s="554"/>
      <c r="AB17" s="550"/>
      <c r="AC17" s="550"/>
      <c r="AD17" s="550"/>
      <c r="AE17" s="550"/>
    </row>
    <row r="18" spans="1:31" ht="18.75" customHeight="1">
      <c r="A18" s="550"/>
      <c r="B18" s="550"/>
      <c r="C18" s="550"/>
      <c r="D18" s="550"/>
      <c r="E18" s="550"/>
      <c r="F18" s="550"/>
      <c r="G18" s="554"/>
      <c r="H18" s="554"/>
      <c r="I18" s="554"/>
      <c r="J18" s="554"/>
      <c r="K18" s="554"/>
      <c r="L18" s="554"/>
      <c r="M18" s="554"/>
      <c r="N18" s="554"/>
      <c r="O18" s="554"/>
      <c r="P18" s="554"/>
      <c r="Q18" s="554"/>
      <c r="R18" s="554"/>
      <c r="S18" s="554"/>
      <c r="T18" s="554"/>
      <c r="U18" s="554"/>
      <c r="V18" s="554"/>
      <c r="W18" s="554"/>
      <c r="X18" s="554"/>
      <c r="Y18" s="554"/>
      <c r="Z18" s="554"/>
      <c r="AA18" s="554"/>
      <c r="AB18" s="550"/>
      <c r="AC18" s="550"/>
      <c r="AD18" s="550"/>
      <c r="AE18" s="550"/>
    </row>
    <row r="19" spans="1:31" ht="18" customHeight="1">
      <c r="A19" s="550"/>
      <c r="B19" s="550"/>
      <c r="C19" s="550"/>
      <c r="D19" s="550"/>
      <c r="E19" s="550"/>
      <c r="F19" s="550"/>
      <c r="G19" s="549" t="str">
        <f>IF(G17="","","C'est exact ?! Pour recommencer, cliquez sur mon chapeau !")</f>
        <v/>
      </c>
      <c r="H19" s="549"/>
      <c r="I19" s="549"/>
      <c r="J19" s="549"/>
      <c r="K19" s="549"/>
      <c r="L19" s="549"/>
      <c r="M19" s="549"/>
      <c r="N19" s="549"/>
      <c r="O19" s="549"/>
      <c r="P19" s="549"/>
      <c r="Q19" s="549"/>
      <c r="R19" s="549"/>
      <c r="S19" s="549"/>
      <c r="T19" s="549"/>
      <c r="U19" s="549"/>
      <c r="V19" s="549"/>
      <c r="W19" s="549"/>
      <c r="X19" s="549"/>
      <c r="Y19" s="549"/>
      <c r="Z19" s="549"/>
      <c r="AA19" s="549"/>
      <c r="AB19" s="550"/>
      <c r="AC19" s="550"/>
      <c r="AD19" s="550"/>
      <c r="AE19" s="550"/>
    </row>
    <row r="20" spans="1:31" ht="18.75" customHeight="1">
      <c r="A20" s="550"/>
      <c r="B20" s="550"/>
      <c r="C20" s="550"/>
      <c r="D20" s="550"/>
      <c r="E20" s="550"/>
      <c r="F20" s="550"/>
      <c r="G20" s="549"/>
      <c r="H20" s="549"/>
      <c r="I20" s="549"/>
      <c r="J20" s="549"/>
      <c r="K20" s="549"/>
      <c r="L20" s="549"/>
      <c r="M20" s="549"/>
      <c r="N20" s="549"/>
      <c r="O20" s="549"/>
      <c r="P20" s="549"/>
      <c r="Q20" s="549"/>
      <c r="R20" s="549"/>
      <c r="S20" s="549"/>
      <c r="T20" s="549"/>
      <c r="U20" s="549"/>
      <c r="V20" s="549"/>
      <c r="W20" s="549"/>
      <c r="X20" s="549"/>
      <c r="Y20" s="549"/>
      <c r="Z20" s="549"/>
      <c r="AA20" s="549"/>
      <c r="AB20" s="550"/>
      <c r="AC20" s="550"/>
      <c r="AD20" s="550"/>
      <c r="AE20" s="550"/>
    </row>
    <row r="21" spans="1:31" ht="18" customHeight="1">
      <c r="A21" s="550"/>
      <c r="B21" s="550"/>
      <c r="C21" s="550"/>
      <c r="D21" s="550"/>
      <c r="E21" s="550"/>
      <c r="F21" s="550"/>
      <c r="G21" s="550"/>
      <c r="H21" s="550"/>
      <c r="I21" s="550"/>
      <c r="J21" s="550"/>
      <c r="K21" s="550"/>
      <c r="L21" s="550"/>
      <c r="M21" s="550"/>
      <c r="N21" s="550"/>
      <c r="O21" s="550"/>
      <c r="P21" s="550"/>
      <c r="Q21" s="550"/>
      <c r="R21" s="550"/>
      <c r="S21" s="550"/>
      <c r="T21" s="550"/>
      <c r="U21" s="550"/>
      <c r="V21" s="550"/>
      <c r="W21" s="550"/>
      <c r="X21" s="550"/>
      <c r="Y21" s="550"/>
      <c r="Z21" s="550"/>
      <c r="AA21" s="550"/>
      <c r="AB21" s="550"/>
      <c r="AC21" s="550"/>
      <c r="AD21" s="550"/>
      <c r="AE21" s="550"/>
    </row>
    <row r="22" spans="1:31" hidden="1"/>
    <row r="23" spans="1:31" hidden="1"/>
    <row r="24" spans="1:31" hidden="1"/>
    <row r="25" spans="1:31" hidden="1"/>
    <row r="26" spans="1:31" hidden="1"/>
    <row r="27" spans="1:31" hidden="1"/>
    <row r="28" spans="1:31" hidden="1"/>
    <row r="29" spans="1:31" hidden="1"/>
    <row r="30" spans="1:31" hidden="1"/>
    <row r="31" spans="1:31" hidden="1"/>
    <row r="32" spans="1:31" hidden="1"/>
    <row r="33" hidden="1"/>
    <row r="34" hidden="1"/>
    <row r="35" hidden="1"/>
    <row r="36" hidden="1"/>
    <row r="37" hidden="1"/>
    <row r="38" hidden="1"/>
    <row r="39" hidden="1"/>
    <row r="40" hidden="1"/>
    <row r="41" hidden="1"/>
    <row r="42" hidden="1"/>
    <row r="43" hidden="1"/>
    <row r="44" hidden="1"/>
    <row r="45" hidden="1"/>
    <row r="46" hidden="1"/>
  </sheetData>
  <sheetProtection password="8B0A" sheet="1" objects="1" scenarios="1" pivotTables="0"/>
  <mergeCells count="28">
    <mergeCell ref="B2:AE5"/>
    <mergeCell ref="A1:AE1"/>
    <mergeCell ref="A2:A21"/>
    <mergeCell ref="B14:AE14"/>
    <mergeCell ref="AD15:AE15"/>
    <mergeCell ref="Y15:AA15"/>
    <mergeCell ref="T15:V15"/>
    <mergeCell ref="O15:Q15"/>
    <mergeCell ref="J15:L15"/>
    <mergeCell ref="E15:G15"/>
    <mergeCell ref="B21:AE21"/>
    <mergeCell ref="F6:F13"/>
    <mergeCell ref="K6:K13"/>
    <mergeCell ref="P6:P13"/>
    <mergeCell ref="C15:D15"/>
    <mergeCell ref="B17:F20"/>
    <mergeCell ref="G19:AA20"/>
    <mergeCell ref="AB17:AE20"/>
    <mergeCell ref="U6:U13"/>
    <mergeCell ref="Z6:Z13"/>
    <mergeCell ref="AE6:AE13"/>
    <mergeCell ref="AB15:AC15"/>
    <mergeCell ref="W15:X15"/>
    <mergeCell ref="R15:S15"/>
    <mergeCell ref="M15:N15"/>
    <mergeCell ref="H15:I15"/>
    <mergeCell ref="B16:AE16"/>
    <mergeCell ref="G17:AA18"/>
  </mergeCells>
  <conditionalFormatting sqref="M15:N15 R15:S15 W15:X15 AB15:AC15 H15:I15 C15:D15">
    <cfRule type="expression" dxfId="492" priority="59">
      <formula>AND(C15&lt;&gt;"non",C15&lt;&gt;"oui",C15&lt;&gt;"")</formula>
    </cfRule>
  </conditionalFormatting>
  <dataValidations count="1">
    <dataValidation type="list" allowBlank="1" showInputMessage="1" showErrorMessage="1" sqref="M15:N15 H15:I15 C15:D15 AB15:AC15 W15:X15 R15:S15">
      <formula1>"OUI,NON"</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codeName="Feuil2">
    <tabColor theme="8" tint="0.39997558519241921"/>
  </sheetPr>
  <dimension ref="A1:N27"/>
  <sheetViews>
    <sheetView showGridLines="0" showRowColHeaders="0" workbookViewId="0">
      <selection sqref="A1:N1"/>
    </sheetView>
  </sheetViews>
  <sheetFormatPr baseColWidth="10" defaultColWidth="0" defaultRowHeight="15" zeroHeight="1"/>
  <cols>
    <col min="1" max="1" width="3.85546875" style="8" customWidth="1"/>
    <col min="2" max="2" width="11.42578125" style="8" customWidth="1"/>
    <col min="3" max="3" width="13" style="8" customWidth="1"/>
    <col min="4" max="6" width="11.42578125" style="8" customWidth="1"/>
    <col min="7" max="7" width="14" style="8" customWidth="1"/>
    <col min="8" max="14" width="11.42578125" style="8" customWidth="1"/>
    <col min="15" max="16384" width="11.42578125" style="8" hidden="1"/>
  </cols>
  <sheetData>
    <row r="1" spans="1:14" ht="46.5" customHeight="1">
      <c r="A1" s="558" t="s">
        <v>17</v>
      </c>
      <c r="B1" s="558"/>
      <c r="C1" s="558"/>
      <c r="D1" s="558"/>
      <c r="E1" s="558"/>
      <c r="F1" s="558"/>
      <c r="G1" s="558"/>
      <c r="H1" s="558"/>
      <c r="I1" s="558"/>
      <c r="J1" s="558"/>
      <c r="K1" s="558"/>
      <c r="L1" s="558"/>
      <c r="M1" s="558"/>
      <c r="N1" s="558"/>
    </row>
    <row r="2" spans="1:14" ht="15" customHeight="1">
      <c r="A2" s="560"/>
      <c r="B2" s="560"/>
      <c r="C2" s="560"/>
      <c r="D2" s="560"/>
      <c r="E2" s="560"/>
      <c r="F2" s="560"/>
      <c r="G2" s="560"/>
      <c r="H2" s="560"/>
      <c r="I2" s="560"/>
      <c r="J2" s="560"/>
      <c r="K2" s="560"/>
      <c r="L2" s="560"/>
      <c r="M2" s="560"/>
      <c r="N2" s="560"/>
    </row>
    <row r="3" spans="1:14" ht="15" customHeight="1">
      <c r="A3" s="560"/>
      <c r="B3" s="560"/>
      <c r="C3" s="560"/>
      <c r="D3" s="560"/>
      <c r="E3" s="560"/>
      <c r="F3" s="560"/>
      <c r="G3" s="560"/>
      <c r="H3" s="560"/>
      <c r="I3" s="560"/>
      <c r="J3" s="560"/>
      <c r="K3" s="560"/>
      <c r="L3" s="560"/>
      <c r="M3" s="560"/>
      <c r="N3" s="560"/>
    </row>
    <row r="4" spans="1:14" ht="15" customHeight="1">
      <c r="A4" s="560"/>
      <c r="B4" s="560"/>
      <c r="C4" s="560"/>
      <c r="D4" s="560"/>
      <c r="E4" s="560"/>
      <c r="F4" s="560"/>
      <c r="G4" s="560"/>
      <c r="H4" s="560"/>
      <c r="I4" s="560"/>
      <c r="J4" s="560"/>
      <c r="K4" s="560"/>
      <c r="L4" s="560"/>
      <c r="M4" s="560"/>
      <c r="N4" s="560"/>
    </row>
    <row r="5" spans="1:14" ht="12.75" customHeight="1">
      <c r="A5" s="560"/>
      <c r="B5" s="560"/>
      <c r="C5" s="560"/>
      <c r="D5" s="560"/>
      <c r="E5" s="560"/>
      <c r="F5" s="560"/>
      <c r="G5" s="560"/>
      <c r="H5" s="560"/>
      <c r="I5" s="560"/>
      <c r="J5" s="560"/>
      <c r="K5" s="560"/>
      <c r="L5" s="560"/>
      <c r="M5" s="560"/>
      <c r="N5" s="560"/>
    </row>
    <row r="6" spans="1:14" ht="15.75" customHeight="1">
      <c r="A6" s="560"/>
      <c r="B6" s="560"/>
      <c r="C6" s="560"/>
      <c r="D6" s="560"/>
      <c r="E6" s="560"/>
      <c r="F6" s="560"/>
      <c r="G6" s="560"/>
      <c r="H6" s="560"/>
      <c r="I6" s="560"/>
      <c r="J6" s="560"/>
      <c r="K6" s="560"/>
      <c r="L6" s="560"/>
      <c r="M6" s="560"/>
      <c r="N6" s="560"/>
    </row>
    <row r="7" spans="1:14" ht="10.5" customHeight="1">
      <c r="A7" s="560"/>
      <c r="B7" s="560"/>
      <c r="C7" s="560"/>
      <c r="D7" s="560"/>
      <c r="E7" s="560"/>
      <c r="F7" s="560"/>
      <c r="G7" s="560"/>
      <c r="H7" s="560"/>
      <c r="I7" s="560"/>
      <c r="J7" s="560"/>
      <c r="K7" s="560"/>
      <c r="L7" s="560"/>
      <c r="M7" s="560"/>
      <c r="N7" s="560"/>
    </row>
    <row r="8" spans="1:14" ht="24" customHeight="1">
      <c r="A8" s="560"/>
      <c r="B8" s="560"/>
      <c r="C8" s="560"/>
      <c r="D8" s="560"/>
      <c r="E8" s="560"/>
      <c r="F8" s="560"/>
      <c r="G8" s="560"/>
      <c r="H8" s="560"/>
      <c r="I8" s="560"/>
      <c r="J8" s="560"/>
      <c r="K8" s="560"/>
      <c r="L8" s="560"/>
      <c r="M8" s="560"/>
      <c r="N8" s="560"/>
    </row>
    <row r="9" spans="1:14" ht="15" customHeight="1">
      <c r="A9" s="560"/>
      <c r="B9" s="560"/>
      <c r="C9" s="560"/>
      <c r="D9" s="560"/>
      <c r="E9" s="560"/>
      <c r="F9" s="560"/>
      <c r="G9" s="560"/>
      <c r="H9" s="560"/>
      <c r="I9" s="560"/>
      <c r="J9" s="560"/>
      <c r="K9" s="560"/>
      <c r="L9" s="560"/>
      <c r="M9" s="560"/>
      <c r="N9" s="560"/>
    </row>
    <row r="10" spans="1:14" ht="15" customHeight="1">
      <c r="A10" s="560"/>
      <c r="B10" s="560"/>
      <c r="C10" s="560"/>
      <c r="D10" s="560"/>
      <c r="E10" s="560"/>
      <c r="F10" s="560"/>
      <c r="G10" s="560"/>
      <c r="H10" s="560"/>
      <c r="I10" s="560"/>
      <c r="J10" s="560"/>
      <c r="K10" s="560"/>
      <c r="L10" s="560"/>
      <c r="M10" s="560"/>
      <c r="N10" s="560"/>
    </row>
    <row r="11" spans="1:14" ht="21" customHeight="1">
      <c r="A11" s="560"/>
      <c r="B11" s="560"/>
      <c r="C11" s="560"/>
      <c r="D11" s="560"/>
      <c r="E11" s="560"/>
      <c r="F11" s="560"/>
      <c r="G11" s="560"/>
      <c r="H11" s="560"/>
      <c r="I11" s="560"/>
      <c r="J11" s="560"/>
      <c r="K11" s="560"/>
      <c r="L11" s="560"/>
      <c r="M11" s="560"/>
      <c r="N11" s="560"/>
    </row>
    <row r="12" spans="1:14" ht="21" customHeight="1">
      <c r="A12" s="560"/>
      <c r="B12" s="560"/>
      <c r="C12" s="560"/>
      <c r="D12" s="560"/>
      <c r="E12" s="560"/>
      <c r="F12" s="560"/>
      <c r="G12" s="560"/>
      <c r="H12" s="560"/>
      <c r="I12" s="560"/>
      <c r="J12" s="560"/>
      <c r="K12" s="560"/>
      <c r="L12" s="560"/>
      <c r="M12" s="560"/>
      <c r="N12" s="560"/>
    </row>
    <row r="13" spans="1:14" ht="21" customHeight="1">
      <c r="A13" s="560"/>
      <c r="B13" s="560"/>
      <c r="C13" s="560"/>
      <c r="D13" s="560"/>
      <c r="E13" s="560"/>
      <c r="F13" s="560"/>
      <c r="G13" s="560"/>
      <c r="H13" s="560"/>
      <c r="I13" s="560"/>
      <c r="J13" s="560"/>
      <c r="K13" s="560"/>
      <c r="L13" s="560"/>
      <c r="M13" s="560"/>
      <c r="N13" s="560"/>
    </row>
    <row r="14" spans="1:14" ht="21" customHeight="1">
      <c r="A14" s="560"/>
      <c r="B14" s="560"/>
      <c r="C14" s="560"/>
      <c r="D14" s="560"/>
      <c r="E14" s="560"/>
      <c r="F14" s="560"/>
      <c r="G14" s="560"/>
      <c r="H14" s="560"/>
      <c r="I14" s="560"/>
      <c r="J14" s="560"/>
      <c r="K14" s="560"/>
      <c r="L14" s="560"/>
      <c r="M14" s="560"/>
      <c r="N14" s="560"/>
    </row>
    <row r="15" spans="1:14" ht="21" customHeight="1">
      <c r="A15" s="560"/>
      <c r="B15" s="560"/>
      <c r="C15" s="560"/>
      <c r="D15" s="560"/>
      <c r="E15" s="560"/>
      <c r="F15" s="560"/>
      <c r="G15" s="560"/>
      <c r="H15" s="560"/>
      <c r="I15" s="560"/>
      <c r="J15" s="560"/>
      <c r="K15" s="560"/>
      <c r="L15" s="560"/>
      <c r="M15" s="560"/>
      <c r="N15" s="560"/>
    </row>
    <row r="16" spans="1:14" ht="21" customHeight="1">
      <c r="A16" s="560"/>
      <c r="B16" s="560"/>
      <c r="C16" s="560"/>
      <c r="D16" s="560"/>
      <c r="E16" s="560"/>
      <c r="F16" s="560"/>
      <c r="G16" s="560"/>
      <c r="H16" s="560"/>
      <c r="I16" s="560"/>
      <c r="J16" s="560"/>
      <c r="K16" s="560"/>
      <c r="L16" s="560"/>
      <c r="M16" s="560"/>
      <c r="N16" s="560"/>
    </row>
    <row r="17" spans="1:14" ht="21" customHeight="1">
      <c r="A17" s="560"/>
      <c r="B17" s="560"/>
      <c r="C17" s="560"/>
      <c r="D17" s="560"/>
      <c r="E17" s="560"/>
      <c r="F17" s="560"/>
      <c r="G17" s="560"/>
      <c r="H17" s="560"/>
      <c r="I17" s="560"/>
      <c r="J17" s="560"/>
      <c r="K17" s="560"/>
      <c r="L17" s="560"/>
      <c r="M17" s="560"/>
      <c r="N17" s="560"/>
    </row>
    <row r="18" spans="1:14" ht="21" customHeight="1">
      <c r="A18" s="560"/>
      <c r="B18" s="560"/>
      <c r="C18" s="560"/>
      <c r="D18" s="560"/>
      <c r="E18" s="560"/>
      <c r="F18" s="560"/>
      <c r="G18" s="560"/>
      <c r="H18" s="560"/>
      <c r="I18" s="560"/>
      <c r="J18" s="560"/>
      <c r="K18" s="560"/>
      <c r="L18" s="560"/>
      <c r="M18" s="560"/>
      <c r="N18" s="560"/>
    </row>
    <row r="19" spans="1:14" ht="21" customHeight="1">
      <c r="A19" s="560"/>
      <c r="B19" s="560"/>
      <c r="C19" s="560"/>
      <c r="D19" s="560"/>
      <c r="E19" s="560"/>
      <c r="F19" s="560"/>
      <c r="G19" s="560"/>
      <c r="H19" s="560"/>
      <c r="I19" s="560"/>
      <c r="J19" s="560"/>
      <c r="K19" s="560"/>
      <c r="L19" s="560"/>
      <c r="M19" s="560"/>
      <c r="N19" s="560"/>
    </row>
    <row r="20" spans="1:14" ht="21" customHeight="1">
      <c r="A20" s="560"/>
      <c r="B20" s="560"/>
      <c r="C20" s="560"/>
      <c r="D20" s="560"/>
      <c r="E20" s="560"/>
      <c r="F20" s="560"/>
      <c r="G20" s="560"/>
      <c r="H20" s="560"/>
      <c r="I20" s="560"/>
      <c r="J20" s="560"/>
      <c r="K20" s="560"/>
      <c r="L20" s="560"/>
      <c r="M20" s="560"/>
      <c r="N20" s="560"/>
    </row>
    <row r="21" spans="1:14" ht="21" hidden="1" customHeight="1">
      <c r="A21" s="562"/>
      <c r="B21" s="562"/>
      <c r="C21" s="559" t="str">
        <f>IF(D18="???","Votre carte a-t-elle disparu ?","")</f>
        <v/>
      </c>
      <c r="D21" s="559"/>
      <c r="E21" s="559"/>
      <c r="F21" s="559"/>
      <c r="G21" s="559"/>
      <c r="H21" s="202"/>
      <c r="I21" s="564" t="str">
        <f>IF(H21="oui","Magique !! Encore Gagné !!",IF(H21="non","Me serais-je trompé ??   ;-(",""))</f>
        <v/>
      </c>
      <c r="J21" s="564"/>
      <c r="K21" s="564"/>
      <c r="L21" s="564"/>
      <c r="M21" s="562"/>
      <c r="N21" s="562"/>
    </row>
    <row r="22" spans="1:14" ht="15" hidden="1" customHeight="1">
      <c r="A22" s="562"/>
      <c r="B22" s="562"/>
      <c r="C22" s="561"/>
      <c r="D22" s="561"/>
      <c r="E22" s="561"/>
      <c r="F22" s="561"/>
      <c r="G22" s="561"/>
      <c r="H22" s="562"/>
      <c r="I22" s="562"/>
      <c r="J22" s="562"/>
      <c r="K22" s="562"/>
      <c r="L22" s="562"/>
      <c r="M22" s="562"/>
      <c r="N22" s="562"/>
    </row>
    <row r="23" spans="1:14" ht="15" hidden="1" customHeight="1">
      <c r="A23" s="562"/>
      <c r="B23" s="562"/>
      <c r="C23" s="561"/>
      <c r="D23" s="561"/>
      <c r="E23" s="561"/>
      <c r="F23" s="561"/>
      <c r="G23" s="561"/>
      <c r="H23" s="562"/>
      <c r="I23" s="562"/>
      <c r="J23" s="562"/>
      <c r="K23" s="562"/>
      <c r="L23" s="562"/>
      <c r="M23" s="562"/>
      <c r="N23" s="562"/>
    </row>
    <row r="24" spans="1:14" ht="18.75" hidden="1" customHeight="1">
      <c r="A24" s="562"/>
      <c r="B24" s="562"/>
      <c r="C24" s="561"/>
      <c r="D24" s="561"/>
      <c r="E24" s="565" t="str">
        <f>IF(I21="","","Cliquez ici pour recommencer&gt;&gt;&gt;")</f>
        <v/>
      </c>
      <c r="F24" s="565"/>
      <c r="G24" s="565"/>
      <c r="H24" s="562"/>
      <c r="I24" s="562"/>
      <c r="J24" s="562"/>
      <c r="K24" s="562"/>
      <c r="L24" s="562"/>
      <c r="M24" s="562"/>
      <c r="N24" s="562"/>
    </row>
    <row r="25" spans="1:14" ht="18.75" hidden="1" customHeight="1">
      <c r="A25" s="562"/>
      <c r="B25" s="562"/>
      <c r="C25" s="561"/>
      <c r="D25" s="561"/>
      <c r="E25" s="565"/>
      <c r="F25" s="565"/>
      <c r="G25" s="565"/>
      <c r="H25" s="562"/>
      <c r="I25" s="562"/>
      <c r="J25" s="562"/>
      <c r="K25" s="562"/>
      <c r="L25" s="562"/>
      <c r="M25" s="562"/>
      <c r="N25" s="562"/>
    </row>
    <row r="26" spans="1:14" ht="15" hidden="1" customHeight="1">
      <c r="A26" s="562"/>
      <c r="B26" s="562"/>
      <c r="C26" s="562"/>
      <c r="D26" s="562"/>
      <c r="E26" s="562"/>
      <c r="F26" s="562"/>
      <c r="G26" s="562"/>
      <c r="H26" s="562"/>
      <c r="I26" s="562"/>
      <c r="J26" s="562"/>
      <c r="K26" s="562"/>
      <c r="L26" s="562"/>
      <c r="M26" s="562"/>
      <c r="N26" s="562"/>
    </row>
    <row r="27" spans="1:14" ht="30.75" hidden="1" customHeight="1">
      <c r="A27" s="563"/>
      <c r="B27" s="563"/>
      <c r="C27" s="563"/>
      <c r="D27" s="563"/>
      <c r="E27" s="563"/>
      <c r="F27" s="563"/>
      <c r="G27" s="563"/>
      <c r="H27" s="563"/>
      <c r="I27" s="563"/>
      <c r="J27" s="563"/>
      <c r="K27" s="563"/>
      <c r="L27" s="563"/>
      <c r="M27" s="563"/>
      <c r="N27" s="563"/>
    </row>
  </sheetData>
  <sheetProtection password="8B0A" sheet="1" objects="1" scenarios="1" pivotTables="0"/>
  <mergeCells count="13">
    <mergeCell ref="A27:N27"/>
    <mergeCell ref="I21:L21"/>
    <mergeCell ref="E24:G25"/>
    <mergeCell ref="A26:N26"/>
    <mergeCell ref="A21:B25"/>
    <mergeCell ref="C22:D25"/>
    <mergeCell ref="A1:N1"/>
    <mergeCell ref="C21:G21"/>
    <mergeCell ref="A2:N20"/>
    <mergeCell ref="E22:G23"/>
    <mergeCell ref="H22:H25"/>
    <mergeCell ref="M21:N21"/>
    <mergeCell ref="I22:N25"/>
  </mergeCells>
  <conditionalFormatting sqref="H21">
    <cfRule type="expression" dxfId="491" priority="3">
      <formula>AND($H$21="",$C$21="Votre carte a-t-elle disparu ?")</formula>
    </cfRule>
  </conditionalFormatting>
  <dataValidations count="1">
    <dataValidation type="list" allowBlank="1" showInputMessage="1" showErrorMessage="1" sqref="H21">
      <formula1>"Oui,Non"</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codeName="Feuil3">
    <tabColor rgb="FF663300"/>
  </sheetPr>
  <dimension ref="A1:P29"/>
  <sheetViews>
    <sheetView showGridLines="0" showRowColHeaders="0" workbookViewId="0">
      <selection sqref="A1:K1"/>
    </sheetView>
  </sheetViews>
  <sheetFormatPr baseColWidth="10" defaultColWidth="0" defaultRowHeight="15" zeroHeight="1"/>
  <cols>
    <col min="1" max="1" width="3.85546875" style="437" customWidth="1"/>
    <col min="2" max="5" width="11.42578125" style="437" customWidth="1"/>
    <col min="6" max="6" width="15.140625" style="437" customWidth="1"/>
    <col min="7" max="9" width="11.42578125" style="437" customWidth="1"/>
    <col min="10" max="10" width="26.85546875" style="437" customWidth="1"/>
    <col min="11" max="11" width="19.42578125" style="437" customWidth="1"/>
    <col min="12" max="12" width="3.85546875" style="437" hidden="1" customWidth="1"/>
    <col min="13" max="13" width="11.42578125" style="437" hidden="1" customWidth="1"/>
    <col min="14" max="14" width="13.85546875" style="437" hidden="1" customWidth="1"/>
    <col min="15" max="16" width="11.42578125" style="437" hidden="1" customWidth="1"/>
    <col min="17" max="16384" width="11.42578125" style="437" hidden="1"/>
  </cols>
  <sheetData>
    <row r="1" spans="1:16" ht="34.5">
      <c r="A1" s="574" t="str">
        <f ca="1">"Petit calul gourmand  (v"&amp;YEAR(PARA!H6)&amp;")"</f>
        <v>Petit calul gourmand  (v2018)</v>
      </c>
      <c r="B1" s="575"/>
      <c r="C1" s="575"/>
      <c r="D1" s="575"/>
      <c r="E1" s="575"/>
      <c r="F1" s="575"/>
      <c r="G1" s="575"/>
      <c r="H1" s="575"/>
      <c r="I1" s="575"/>
      <c r="J1" s="575"/>
      <c r="K1" s="575"/>
      <c r="L1" s="444"/>
      <c r="M1" s="445"/>
      <c r="N1" s="443">
        <f ca="1">PARA!B6+(YEAR(PARA!H6)-YEAR(PARA!B6))*365.25</f>
        <v>43099.5</v>
      </c>
      <c r="O1" s="443">
        <f ca="1">TODAY()</f>
        <v>43257</v>
      </c>
      <c r="P1" s="437" t="str">
        <f ca="1">IF(O1&gt;N1,"oui","non")</f>
        <v>oui</v>
      </c>
    </row>
    <row r="2" spans="1:16">
      <c r="A2" s="567"/>
      <c r="B2" s="573"/>
      <c r="C2" s="573"/>
      <c r="D2" s="573"/>
      <c r="E2" s="573"/>
      <c r="F2" s="573"/>
      <c r="G2" s="573"/>
      <c r="H2" s="573"/>
      <c r="I2" s="573"/>
      <c r="J2" s="573"/>
      <c r="K2" s="573"/>
      <c r="N2" s="437" t="s">
        <v>445</v>
      </c>
      <c r="O2" s="437" t="s">
        <v>446</v>
      </c>
      <c r="P2" s="437" t="s">
        <v>447</v>
      </c>
    </row>
    <row r="3" spans="1:16">
      <c r="A3" s="567"/>
      <c r="B3" s="577" t="s">
        <v>448</v>
      </c>
      <c r="C3" s="577"/>
      <c r="D3" s="577"/>
      <c r="E3" s="577"/>
      <c r="F3" s="577"/>
      <c r="G3" s="577"/>
      <c r="H3" s="577"/>
      <c r="I3" s="472"/>
      <c r="J3" s="578" t="str">
        <f>IF(I3="","Pour retourner sur la page des paramètres, cliquez ICI !",IF(I3="oui","Très bien "&amp;PARA!B3&amp;", la date retenue est le : "&amp;DAY(PARA!B6)&amp;"/"&amp;MONTH(PARA!B6)&amp;"/"&amp;YEAR(PARA!B6)&amp;".",""))</f>
        <v>Pour retourner sur la page des paramètres, cliquez ICI !</v>
      </c>
      <c r="K3" s="578"/>
    </row>
    <row r="4" spans="1:16" ht="15.75">
      <c r="A4" s="567"/>
      <c r="B4" s="571" t="str">
        <f>IF(I3="","","1/. Choisissez le nombre de fois que vous voudrez manger du chocolat chaque semaine (1 à 10). On oubli les kilos !!")</f>
        <v/>
      </c>
      <c r="C4" s="571"/>
      <c r="D4" s="571"/>
      <c r="E4" s="571"/>
      <c r="F4" s="571"/>
      <c r="G4" s="571"/>
      <c r="H4" s="571"/>
      <c r="I4" s="571"/>
      <c r="J4" s="571"/>
      <c r="K4" s="571"/>
      <c r="N4" s="437">
        <v>2007</v>
      </c>
      <c r="O4" s="437">
        <v>1757</v>
      </c>
      <c r="P4" s="437">
        <f>O4-1</f>
        <v>1756</v>
      </c>
    </row>
    <row r="5" spans="1:16" ht="15.75">
      <c r="A5" s="567"/>
      <c r="B5" s="571" t="str">
        <f>IF(I3="","","2/. Multipliez ce nombre par deux (pour être plus près de la réalité)")</f>
        <v/>
      </c>
      <c r="C5" s="571"/>
      <c r="D5" s="571"/>
      <c r="E5" s="571"/>
      <c r="F5" s="571"/>
      <c r="G5" s="571"/>
      <c r="H5" s="571"/>
      <c r="I5" s="571"/>
      <c r="J5" s="571"/>
      <c r="K5" s="571"/>
      <c r="N5" s="437">
        <v>2008</v>
      </c>
      <c r="O5" s="437">
        <v>1758</v>
      </c>
      <c r="P5" s="437">
        <f t="shared" ref="P5:P7" si="0">O4</f>
        <v>1757</v>
      </c>
    </row>
    <row r="6" spans="1:16" ht="15.75">
      <c r="A6" s="567"/>
      <c r="B6" s="571" t="str">
        <f>IF(I3="","","3/. Ajoutez-y 5")</f>
        <v/>
      </c>
      <c r="C6" s="571"/>
      <c r="D6" s="571"/>
      <c r="E6" s="571"/>
      <c r="F6" s="571"/>
      <c r="G6" s="571"/>
      <c r="H6" s="571"/>
      <c r="I6" s="571"/>
      <c r="J6" s="571"/>
      <c r="K6" s="571"/>
      <c r="N6" s="437">
        <v>2009</v>
      </c>
      <c r="O6" s="437">
        <v>1759</v>
      </c>
      <c r="P6" s="437">
        <f t="shared" si="0"/>
        <v>1758</v>
      </c>
    </row>
    <row r="7" spans="1:16" ht="15.75">
      <c r="A7" s="567"/>
      <c r="B7" s="571" t="str">
        <f>IF(I3="","","4/. Multipliez ensuite le résultat par 50")</f>
        <v/>
      </c>
      <c r="C7" s="571"/>
      <c r="D7" s="571"/>
      <c r="E7" s="571"/>
      <c r="F7" s="571"/>
      <c r="G7" s="571"/>
      <c r="H7" s="571"/>
      <c r="I7" s="571"/>
      <c r="J7" s="571"/>
      <c r="K7" s="571"/>
      <c r="N7" s="437">
        <v>2010</v>
      </c>
      <c r="O7" s="437">
        <v>1760</v>
      </c>
      <c r="P7" s="437">
        <f t="shared" si="0"/>
        <v>1759</v>
      </c>
    </row>
    <row r="8" spans="1:16" ht="15.75">
      <c r="A8" s="567"/>
      <c r="B8" s="571" t="str">
        <f>IF(I3="","",IF(I3="non","5/. Si vous avez déjà célébré votre anniversaire cette année, ajoutez "&amp;VLOOKUP(YEAR(PARA!H6),N2:P21,2)&amp;". Sinon, ajoutez "&amp;VLOOKUP(YEAR(PARA!H6),N2:P21,3)&amp;".",IF(P1="oui","5/. Ajoutez "&amp;VLOOKUP(YEAR(PARA!H6),N2:P21,2),"5/. Ajoutez "&amp;VLOOKUP(YEAR(PARA!H6),N2:P21,3))))</f>
        <v/>
      </c>
      <c r="C8" s="571"/>
      <c r="D8" s="571"/>
      <c r="E8" s="571"/>
      <c r="F8" s="571"/>
      <c r="G8" s="571"/>
      <c r="H8" s="571"/>
      <c r="I8" s="571"/>
      <c r="J8" s="571"/>
      <c r="K8" s="571"/>
      <c r="N8" s="437">
        <v>2011</v>
      </c>
      <c r="O8" s="437">
        <v>1761</v>
      </c>
      <c r="P8" s="437">
        <f>O7</f>
        <v>1760</v>
      </c>
    </row>
    <row r="9" spans="1:16" ht="15.75">
      <c r="A9" s="567"/>
      <c r="B9" s="571" t="str">
        <f>IF(I3="","",IF(I3="non","6/. Maintenant, soustrayez les 4 chiffres représentant l'année de votre naissance.","6/. Maintenant, soustrayez "&amp;YEAR(PARA!B6)&amp;" (les 4 chiffres représentant votre année naissance)."))</f>
        <v/>
      </c>
      <c r="C9" s="571"/>
      <c r="D9" s="571"/>
      <c r="E9" s="571"/>
      <c r="F9" s="571"/>
      <c r="G9" s="571"/>
      <c r="H9" s="571"/>
      <c r="I9" s="571"/>
      <c r="J9" s="571"/>
      <c r="K9" s="571"/>
      <c r="N9" s="437">
        <v>2012</v>
      </c>
      <c r="O9" s="437">
        <v>1762</v>
      </c>
      <c r="P9" s="437">
        <f t="shared" ref="P9:P21" si="1">O8</f>
        <v>1761</v>
      </c>
    </row>
    <row r="10" spans="1:16" ht="33.75" customHeight="1">
      <c r="A10" s="567"/>
      <c r="B10" s="569"/>
      <c r="C10" s="569"/>
      <c r="D10" s="569"/>
      <c r="E10" s="569"/>
      <c r="F10" s="569"/>
      <c r="G10" s="569"/>
      <c r="H10" s="569"/>
      <c r="I10" s="569"/>
      <c r="J10" s="569"/>
      <c r="K10" s="569"/>
      <c r="N10" s="437">
        <v>2013</v>
      </c>
      <c r="O10" s="437">
        <v>1763</v>
      </c>
      <c r="P10" s="437">
        <f t="shared" si="1"/>
        <v>1762</v>
      </c>
    </row>
    <row r="11" spans="1:16" ht="20.25">
      <c r="A11" s="567"/>
      <c r="B11" s="576" t="str">
        <f>IF(I3="","",IF(OR(D13&gt;1099,D13&lt;101,D13=""),"&gt;&gt; Vous devriez obtenir un nombre à trois ou quatre chiffres.","Votre résultat est : "&amp;D13))</f>
        <v/>
      </c>
      <c r="C11" s="576"/>
      <c r="D11" s="576"/>
      <c r="E11" s="576"/>
      <c r="F11" s="576"/>
      <c r="G11" s="576"/>
      <c r="H11" s="576"/>
      <c r="I11" s="576"/>
      <c r="J11" s="576"/>
      <c r="K11" s="576"/>
      <c r="N11" s="437">
        <v>2014</v>
      </c>
      <c r="O11" s="437">
        <v>1764</v>
      </c>
      <c r="P11" s="437">
        <f t="shared" si="1"/>
        <v>1763</v>
      </c>
    </row>
    <row r="12" spans="1:16">
      <c r="A12" s="567"/>
      <c r="B12" s="573"/>
      <c r="C12" s="573"/>
      <c r="D12" s="573"/>
      <c r="E12" s="573"/>
      <c r="F12" s="573"/>
      <c r="G12" s="573"/>
      <c r="H12" s="573"/>
      <c r="I12" s="573"/>
      <c r="J12" s="573"/>
      <c r="K12" s="573"/>
      <c r="N12" s="437">
        <v>2015</v>
      </c>
      <c r="O12" s="437">
        <v>1765</v>
      </c>
      <c r="P12" s="437">
        <f t="shared" si="1"/>
        <v>1764</v>
      </c>
    </row>
    <row r="13" spans="1:16" ht="18">
      <c r="A13" s="567"/>
      <c r="B13" s="572" t="str">
        <f>IF(I3="","",IF(D13="","Inscrivez-le ici =&gt;",""))</f>
        <v/>
      </c>
      <c r="C13" s="572"/>
      <c r="D13" s="373"/>
      <c r="E13" s="568"/>
      <c r="F13" s="566"/>
      <c r="G13" s="566"/>
      <c r="H13" s="566"/>
      <c r="I13" s="566"/>
      <c r="J13" s="566"/>
      <c r="K13" s="566"/>
      <c r="N13" s="437">
        <v>2016</v>
      </c>
      <c r="O13" s="437">
        <v>1766</v>
      </c>
      <c r="P13" s="437">
        <f t="shared" si="1"/>
        <v>1765</v>
      </c>
    </row>
    <row r="14" spans="1:16" ht="31.5" customHeight="1">
      <c r="A14" s="567"/>
      <c r="B14" s="573"/>
      <c r="C14" s="573"/>
      <c r="D14" s="573"/>
      <c r="E14" s="573"/>
      <c r="F14" s="573"/>
      <c r="G14" s="573"/>
      <c r="H14" s="573"/>
      <c r="I14" s="573"/>
      <c r="J14" s="573"/>
      <c r="K14" s="573"/>
      <c r="N14" s="437">
        <v>2017</v>
      </c>
      <c r="O14" s="437">
        <v>1767</v>
      </c>
      <c r="P14" s="437">
        <f t="shared" si="1"/>
        <v>1766</v>
      </c>
    </row>
    <row r="15" spans="1:16" ht="30" customHeight="1">
      <c r="A15" s="567"/>
      <c r="B15" s="570" t="str">
        <f>IF(OR(D13="",D13&lt;101,D13&gt;1099),"","Le premier chiffre (le "&amp;ROUNDDOWN(D13/100,0)&amp;") représente le nombre de fois que vous voulez manger du chocolat par semaine."&amp;IF(OR(D13="",D13&lt;101,D13&gt;1099),"",IF(ROUNDDOWN(D13/100,0)=0,"  Vous en êtes sur !! Même pas un tout petit carreau !?",IF(ROUNDDOWN(D13/100,0)&lt;=4," Petit mangeur !",IF(ROUNDDOWN(D13/100,0)&lt;=7," Gourmad(e)!!",IF(ROUNDDOWN(D13/100,0)&gt;=8,"  Waouh !! Alors vous … vous êtes comme moi :P !!"))))))</f>
        <v/>
      </c>
      <c r="C15" s="570"/>
      <c r="D15" s="570"/>
      <c r="E15" s="570"/>
      <c r="F15" s="570"/>
      <c r="G15" s="570"/>
      <c r="H15" s="570"/>
      <c r="I15" s="570"/>
      <c r="J15" s="570"/>
      <c r="K15" s="570"/>
      <c r="L15" s="446"/>
      <c r="N15" s="437">
        <v>2018</v>
      </c>
      <c r="O15" s="437">
        <v>1768</v>
      </c>
      <c r="P15" s="437">
        <f t="shared" si="1"/>
        <v>1767</v>
      </c>
    </row>
    <row r="16" spans="1:16" ht="15.75">
      <c r="A16" s="567"/>
      <c r="B16" s="571" t="str">
        <f>IF(B15="","","Les deux autres chiffres ("&amp;IF(D13-ROUNDDOWN(D13,-2)&lt;10,"0"&amp;D13-ROUNDDOWN(D13,-2),D13-ROUNDDOWN(D13,-2))&amp;") représentent votre âge.")</f>
        <v/>
      </c>
      <c r="C16" s="571"/>
      <c r="D16" s="571"/>
      <c r="E16" s="571"/>
      <c r="F16" s="571"/>
      <c r="G16" s="571"/>
      <c r="H16" s="571"/>
      <c r="I16" s="571"/>
      <c r="J16" s="571"/>
      <c r="K16" s="571"/>
      <c r="L16" s="446"/>
      <c r="N16" s="437">
        <v>2019</v>
      </c>
      <c r="O16" s="437">
        <v>1769</v>
      </c>
      <c r="P16" s="437">
        <f t="shared" si="1"/>
        <v>1768</v>
      </c>
    </row>
    <row r="17" spans="1:16" ht="15.75">
      <c r="A17" s="567"/>
      <c r="B17" s="569"/>
      <c r="C17" s="569"/>
      <c r="D17" s="569"/>
      <c r="E17" s="569"/>
      <c r="F17" s="569"/>
      <c r="G17" s="569"/>
      <c r="H17" s="569"/>
      <c r="I17" s="569"/>
      <c r="J17" s="569"/>
      <c r="K17" s="569"/>
      <c r="N17" s="437">
        <v>2020</v>
      </c>
      <c r="O17" s="437">
        <v>1770</v>
      </c>
      <c r="P17" s="437">
        <f t="shared" si="1"/>
        <v>1769</v>
      </c>
    </row>
    <row r="18" spans="1:16" ht="18" customHeight="1">
      <c r="A18" s="567"/>
      <c r="B18" s="566" t="str">
        <f>IF(OR(D13&gt;1099,D13&lt;101,D13=""),"","            Pour recommence, cliquez sur l'oeuf =&gt;")</f>
        <v/>
      </c>
      <c r="C18" s="566"/>
      <c r="D18" s="566"/>
      <c r="E18" s="566"/>
      <c r="F18" s="566"/>
      <c r="G18" s="566"/>
      <c r="H18" s="566"/>
      <c r="I18" s="566"/>
      <c r="J18" s="566"/>
      <c r="K18" s="566"/>
      <c r="N18" s="437">
        <v>2021</v>
      </c>
      <c r="O18" s="437">
        <v>1771</v>
      </c>
      <c r="P18" s="437">
        <f t="shared" si="1"/>
        <v>1770</v>
      </c>
    </row>
    <row r="19" spans="1:16" ht="18" customHeight="1">
      <c r="A19" s="567"/>
      <c r="B19" s="566"/>
      <c r="C19" s="566"/>
      <c r="D19" s="566"/>
      <c r="E19" s="566"/>
      <c r="F19" s="566"/>
      <c r="G19" s="566"/>
      <c r="H19" s="566"/>
      <c r="I19" s="566"/>
      <c r="J19" s="566"/>
      <c r="K19" s="566"/>
      <c r="N19" s="437">
        <v>2022</v>
      </c>
      <c r="O19" s="437">
        <v>1772</v>
      </c>
      <c r="P19" s="437">
        <f t="shared" si="1"/>
        <v>1771</v>
      </c>
    </row>
    <row r="20" spans="1:16" ht="18" customHeight="1">
      <c r="A20" s="567"/>
      <c r="B20" s="566"/>
      <c r="C20" s="566"/>
      <c r="D20" s="566"/>
      <c r="E20" s="566"/>
      <c r="F20" s="566"/>
      <c r="G20" s="566"/>
      <c r="H20" s="566"/>
      <c r="I20" s="566"/>
      <c r="J20" s="566"/>
      <c r="K20" s="566"/>
      <c r="N20" s="437">
        <v>2023</v>
      </c>
      <c r="O20" s="437">
        <v>1773</v>
      </c>
      <c r="P20" s="437">
        <f t="shared" si="1"/>
        <v>1772</v>
      </c>
    </row>
    <row r="21" spans="1:16" ht="18" customHeight="1">
      <c r="A21" s="567"/>
      <c r="B21" s="566"/>
      <c r="C21" s="566"/>
      <c r="D21" s="566"/>
      <c r="E21" s="566"/>
      <c r="F21" s="566"/>
      <c r="G21" s="566"/>
      <c r="H21" s="566"/>
      <c r="I21" s="566"/>
      <c r="J21" s="566"/>
      <c r="K21" s="566"/>
      <c r="N21" s="437">
        <v>2024</v>
      </c>
      <c r="O21" s="437">
        <v>1774</v>
      </c>
      <c r="P21" s="437">
        <f t="shared" si="1"/>
        <v>1773</v>
      </c>
    </row>
    <row r="22" spans="1:16" hidden="1"/>
    <row r="23" spans="1:16" hidden="1"/>
    <row r="24" spans="1:16" hidden="1"/>
    <row r="25" spans="1:16" hidden="1"/>
    <row r="26" spans="1:16" hidden="1"/>
    <row r="27" spans="1:16" hidden="1"/>
    <row r="28" spans="1:16" hidden="1"/>
    <row r="29" spans="1:16" hidden="1"/>
  </sheetData>
  <sheetProtection password="8B0A" sheet="1" objects="1" scenarios="1" pivotTables="0"/>
  <mergeCells count="21">
    <mergeCell ref="A1:K1"/>
    <mergeCell ref="B10:K10"/>
    <mergeCell ref="B2:K2"/>
    <mergeCell ref="B12:K12"/>
    <mergeCell ref="B4:K4"/>
    <mergeCell ref="B5:K5"/>
    <mergeCell ref="B6:K6"/>
    <mergeCell ref="B7:K7"/>
    <mergeCell ref="B8:K8"/>
    <mergeCell ref="B9:K9"/>
    <mergeCell ref="B11:K11"/>
    <mergeCell ref="B3:H3"/>
    <mergeCell ref="J3:K3"/>
    <mergeCell ref="B18:K21"/>
    <mergeCell ref="A2:A21"/>
    <mergeCell ref="E13:K13"/>
    <mergeCell ref="B17:K17"/>
    <mergeCell ref="B15:K15"/>
    <mergeCell ref="B16:K16"/>
    <mergeCell ref="B13:C13"/>
    <mergeCell ref="B14:K14"/>
  </mergeCells>
  <conditionalFormatting sqref="D13">
    <cfRule type="expression" dxfId="490" priority="5">
      <formula>$D$13=""</formula>
    </cfRule>
    <cfRule type="expression" dxfId="489" priority="6">
      <formula>AND($D$13&gt;99,$D$13&lt;9999)</formula>
    </cfRule>
  </conditionalFormatting>
  <conditionalFormatting sqref="I3">
    <cfRule type="expression" dxfId="488" priority="3">
      <formula>$I$3=""</formula>
    </cfRule>
  </conditionalFormatting>
  <conditionalFormatting sqref="B4:K13">
    <cfRule type="expression" dxfId="487" priority="2">
      <formula>$I$3=""</formula>
    </cfRule>
  </conditionalFormatting>
  <conditionalFormatting sqref="B3:H3">
    <cfRule type="expression" dxfId="486" priority="1">
      <formula>$I$3=""</formula>
    </cfRule>
  </conditionalFormatting>
  <dataValidations count="1">
    <dataValidation type="list" allowBlank="1" showInputMessage="1" showErrorMessage="1" sqref="I3">
      <formula1>"oui,non"</formula1>
    </dataValidation>
  </dataValidations>
  <pageMargins left="0.7" right="0.7" top="0.75" bottom="0.75" header="0.3" footer="0.3"/>
  <pageSetup paperSize="9" orientation="portrait" horizontalDpi="4294967293" r:id="rId1"/>
  <drawing r:id="rId2"/>
</worksheet>
</file>

<file path=xl/worksheets/sheet13.xml><?xml version="1.0" encoding="utf-8"?>
<worksheet xmlns="http://schemas.openxmlformats.org/spreadsheetml/2006/main" xmlns:r="http://schemas.openxmlformats.org/officeDocument/2006/relationships">
  <sheetPr codeName="Feuil6"/>
  <dimension ref="A1:W39"/>
  <sheetViews>
    <sheetView showGridLines="0" showRowColHeaders="0" zoomScale="130" zoomScaleNormal="130" workbookViewId="0">
      <selection sqref="A1:I1"/>
    </sheetView>
  </sheetViews>
  <sheetFormatPr baseColWidth="10" defaultColWidth="0" defaultRowHeight="15" zeroHeight="1"/>
  <cols>
    <col min="1" max="1" width="5.140625" style="437" customWidth="1"/>
    <col min="2" max="2" width="18.5703125" style="437" customWidth="1"/>
    <col min="3" max="3" width="11.42578125" style="437" customWidth="1"/>
    <col min="4" max="4" width="5.28515625" style="437" customWidth="1"/>
    <col min="5" max="9" width="11.42578125" style="437" customWidth="1"/>
    <col min="10" max="10" width="11.42578125" style="437" hidden="1" customWidth="1"/>
    <col min="11" max="11" width="15.28515625" style="437" hidden="1" customWidth="1"/>
    <col min="12" max="16384" width="11.42578125" style="437" hidden="1"/>
  </cols>
  <sheetData>
    <row r="1" spans="1:23" ht="28.5" customHeight="1">
      <c r="A1" s="581" t="s">
        <v>443</v>
      </c>
      <c r="B1" s="581"/>
      <c r="C1" s="581"/>
      <c r="D1" s="581"/>
      <c r="E1" s="581"/>
      <c r="F1" s="581"/>
      <c r="G1" s="581"/>
      <c r="H1" s="581"/>
      <c r="I1" s="581"/>
      <c r="J1" s="10" t="s">
        <v>295</v>
      </c>
      <c r="K1" s="10"/>
      <c r="L1" s="10"/>
      <c r="M1" s="10"/>
      <c r="N1" s="10"/>
      <c r="O1" s="10"/>
      <c r="P1" s="10"/>
      <c r="Q1" s="10"/>
      <c r="R1" s="10"/>
      <c r="S1" s="10"/>
      <c r="T1" s="10"/>
      <c r="U1" s="10"/>
      <c r="V1" s="10"/>
      <c r="W1" s="10"/>
    </row>
    <row r="2" spans="1:23">
      <c r="A2" s="583"/>
      <c r="B2" s="590"/>
      <c r="C2" s="590"/>
      <c r="D2" s="590"/>
      <c r="E2" s="590"/>
      <c r="F2" s="590"/>
      <c r="G2" s="590"/>
      <c r="H2" s="590"/>
      <c r="I2" s="590"/>
      <c r="J2" s="10"/>
      <c r="K2" s="10"/>
      <c r="L2" s="10"/>
      <c r="M2" s="10"/>
      <c r="N2" s="10"/>
      <c r="O2" s="10"/>
      <c r="P2" s="10"/>
      <c r="Q2" s="10"/>
      <c r="R2" s="10"/>
      <c r="S2" s="10"/>
      <c r="T2" s="10"/>
      <c r="U2" s="10"/>
      <c r="V2" s="10"/>
      <c r="W2" s="10"/>
    </row>
    <row r="3" spans="1:23">
      <c r="A3" s="583"/>
      <c r="B3" s="582" t="str">
        <f>IF(AND(R4=0,OR(H3="",ISNUMBER(H3)=TRUE)),"Choississez un nombre à 5 chiffres différents (ex 54 321), inscrivez le ci-contre:","Merci de renseigner un nombre à 5 chiffres différents (ex 54 321) !")</f>
        <v>Choississez un nombre à 5 chiffres différents (ex 54 321), inscrivez le ci-contre:</v>
      </c>
      <c r="C3" s="582"/>
      <c r="D3" s="582"/>
      <c r="E3" s="582"/>
      <c r="F3" s="582"/>
      <c r="G3" s="582"/>
      <c r="H3" s="397"/>
      <c r="I3" s="590"/>
      <c r="J3" s="10"/>
      <c r="K3" s="10" t="s">
        <v>441</v>
      </c>
      <c r="L3" s="10">
        <f>ROUNDDOWN($H$3,-4)/10000</f>
        <v>0</v>
      </c>
      <c r="M3" s="10">
        <f>ROUNDDOWN($H$3,-3)/1000-L3*10</f>
        <v>0</v>
      </c>
      <c r="N3" s="10">
        <f>ROUNDDOWN($H$3,-2)/100-(L3*100+M3*10)</f>
        <v>0</v>
      </c>
      <c r="O3" s="10">
        <f>ROUNDDOWN($H$3,-1)/10-(L3*1000+M3*100+N3*10)</f>
        <v>0</v>
      </c>
      <c r="P3" s="10">
        <f>ROUNDDOWN($H$3,0)-(L3*10000+M3*1000+N3*100+O3*10)</f>
        <v>0</v>
      </c>
      <c r="Q3" s="10"/>
      <c r="R3" s="10"/>
      <c r="S3" s="10"/>
      <c r="T3" s="10"/>
      <c r="U3" s="10"/>
      <c r="V3" s="10"/>
      <c r="W3" s="10"/>
    </row>
    <row r="4" spans="1:23" ht="15.75">
      <c r="A4" s="583"/>
      <c r="B4" s="582" t="str">
        <f>IF(ISNUMBER(H3)=FALSE,"",IF(AND(H3&lt;&gt;"",R4&lt;&gt;"!"),"Souhaitez vous aditionner 4, 6 ou 8 nombres supplémentaires à 5 chiffres ?",""))</f>
        <v/>
      </c>
      <c r="C4" s="582"/>
      <c r="D4" s="582"/>
      <c r="E4" s="582"/>
      <c r="F4" s="582"/>
      <c r="G4" s="582"/>
      <c r="H4" s="398"/>
      <c r="I4" s="590"/>
      <c r="J4" s="10"/>
      <c r="K4" s="10" t="s">
        <v>442</v>
      </c>
      <c r="L4" s="10">
        <f>IF(OR(L3=M3,L3=N3,L3=O3,L3=P3),1,0)</f>
        <v>1</v>
      </c>
      <c r="M4" s="10">
        <f>IF(OR(M3=N3,M3=O3,M3=P3),1,0)</f>
        <v>1</v>
      </c>
      <c r="N4" s="10">
        <f>IF(OR(N3=O3,N3=P3),1,0)</f>
        <v>1</v>
      </c>
      <c r="O4" s="10">
        <f>IF(O3=P3,1,0)</f>
        <v>1</v>
      </c>
      <c r="P4" s="10"/>
      <c r="Q4" s="10"/>
      <c r="R4" s="391">
        <f>IF(OR(ISNUMBER(H3)=FALSE,H3=""),0,IF(OR(L3&gt;9,L4+M4+N4+O4&lt;&gt;0),"!",0))</f>
        <v>0</v>
      </c>
      <c r="S4" s="10"/>
      <c r="T4" s="10"/>
      <c r="U4" s="10"/>
      <c r="V4" s="10"/>
      <c r="W4" s="10"/>
    </row>
    <row r="5" spans="1:23">
      <c r="A5" s="583"/>
      <c r="B5" s="591" t="str">
        <f>IF(R4="!",L7,IF(OR(H3="",B3="Merci de renseigner un nombre à 5 chiffres différents (ex 54 321) !"),"",IF(OR(H3&lt;&gt;ROUNDDOWN(H3,0),H3&gt;99999),"Merci de renseigner un nombre entier compris entre 0 et 99 999.",IF(H4="","",IF(AND(H4&lt;&gt;4,H4&lt;&gt;6,H4&lt;&gt;8),"Merci de renseigner 4, 6 ou 8.","Très bien, nous allons respectivement et à tour de rôle en saisir chacun "&amp;H4/2&amp;".")))))</f>
        <v/>
      </c>
      <c r="C5" s="591"/>
      <c r="D5" s="591"/>
      <c r="E5" s="591"/>
      <c r="F5" s="591"/>
      <c r="G5" s="591"/>
      <c r="H5" s="591"/>
      <c r="I5" s="591"/>
      <c r="J5" s="10"/>
      <c r="K5" s="10"/>
      <c r="L5" s="10"/>
      <c r="M5" s="10"/>
      <c r="N5" s="10"/>
      <c r="O5" s="10"/>
      <c r="P5" s="10"/>
      <c r="Q5" s="10"/>
      <c r="R5" s="10"/>
      <c r="S5" s="10"/>
      <c r="T5" s="10"/>
      <c r="U5" s="10"/>
      <c r="V5" s="10"/>
      <c r="W5" s="10"/>
    </row>
    <row r="6" spans="1:23">
      <c r="A6" s="583"/>
      <c r="B6" s="590"/>
      <c r="C6" s="590"/>
      <c r="D6" s="590"/>
      <c r="E6" s="590"/>
      <c r="F6" s="590"/>
      <c r="G6" s="590"/>
      <c r="H6" s="590"/>
      <c r="I6" s="590"/>
      <c r="J6" s="10"/>
      <c r="K6" s="10"/>
      <c r="L6" s="10"/>
      <c r="M6" s="10"/>
      <c r="N6" s="10"/>
      <c r="O6" s="10"/>
      <c r="P6" s="10"/>
      <c r="Q6" s="10"/>
      <c r="R6" s="10"/>
      <c r="S6" s="10"/>
      <c r="T6" s="10"/>
      <c r="U6" s="10"/>
      <c r="V6" s="10"/>
      <c r="W6" s="10"/>
    </row>
    <row r="7" spans="1:23">
      <c r="A7" s="583"/>
      <c r="B7" s="203" t="s">
        <v>91</v>
      </c>
      <c r="C7" s="204">
        <f>H3</f>
        <v>0</v>
      </c>
      <c r="D7" s="584"/>
      <c r="E7" s="584"/>
      <c r="F7" s="584"/>
      <c r="G7" s="584"/>
      <c r="H7" s="584"/>
      <c r="I7" s="584"/>
      <c r="J7" s="10"/>
      <c r="K7" s="10"/>
      <c r="L7" s="589" t="str">
        <f t="shared" ref="L7" si="0">IF(L3&gt;9,"Merci de renseigner un nombre entier compris entre 0 et 99 999.","Vous avez renseignez plusieurs fois le : "&amp;IF(L4=1,L3&amp;", ","")&amp;IF(AND(M4=1,L3&lt;&gt;M3),M3&amp;", ","")&amp;IF(AND(N4=1,L3&lt;&gt;N3,M3&lt;&gt;N3),N3&amp;", ","")&amp;IF(AND(O4=1,L3&lt;&gt;O3,M3&lt;&gt;O3,N3&lt;&gt;O3),O3&amp;", ",""))</f>
        <v xml:space="preserve">Vous avez renseignez plusieurs fois le : 0, </v>
      </c>
      <c r="M7" s="589"/>
      <c r="N7" s="589"/>
      <c r="O7" s="589"/>
      <c r="P7" s="589"/>
      <c r="Q7" s="10"/>
      <c r="R7" s="10"/>
      <c r="S7" s="10"/>
      <c r="T7" s="10"/>
      <c r="U7" s="10"/>
      <c r="V7" s="10"/>
      <c r="W7" s="10"/>
    </row>
    <row r="8" spans="1:23">
      <c r="A8" s="583"/>
      <c r="B8" s="584"/>
      <c r="C8" s="584"/>
      <c r="D8" s="584"/>
      <c r="E8" s="584"/>
      <c r="F8" s="584"/>
      <c r="G8" s="584"/>
      <c r="H8" s="584"/>
      <c r="I8" s="584"/>
      <c r="J8" s="10"/>
      <c r="K8" s="10"/>
      <c r="L8" s="10"/>
      <c r="M8" s="10"/>
      <c r="N8" s="10"/>
      <c r="O8" s="10"/>
      <c r="P8" s="10"/>
      <c r="Q8" s="10"/>
      <c r="R8" s="10"/>
      <c r="S8" s="10"/>
      <c r="T8" s="10"/>
      <c r="U8" s="10"/>
      <c r="V8" s="10"/>
      <c r="W8" s="10"/>
    </row>
    <row r="9" spans="1:23">
      <c r="A9" s="583"/>
      <c r="B9" s="14" t="str">
        <f>IF(OR(H4=4,H4=6,H4=8),"+ 1er Nombre  ====&gt;","")</f>
        <v/>
      </c>
      <c r="C9" s="15"/>
      <c r="D9" s="579" t="str">
        <f>IF(AND(B9&lt;&gt;"",C9=""),"&lt;&lt; Veuillez saisir votre nombre",IF(OR(ISNUMBER(C9)=FALSE,C9&gt;99999,R10="!"),S10,""))</f>
        <v xml:space="preserve">Vous avez renseignez plusieurs fois le : 0, </v>
      </c>
      <c r="E9" s="579"/>
      <c r="F9" s="579"/>
      <c r="G9" s="579"/>
      <c r="H9" s="579"/>
      <c r="I9" s="579"/>
      <c r="J9" s="10"/>
      <c r="K9" s="392" t="s">
        <v>441</v>
      </c>
      <c r="L9" s="392">
        <f>ROUNDDOWN($C$9,-4)/10000</f>
        <v>0</v>
      </c>
      <c r="M9" s="392">
        <f>ROUNDDOWN($C$9,-3)/1000-L9*10</f>
        <v>0</v>
      </c>
      <c r="N9" s="392">
        <f>ROUNDDOWN($C$9,-2)/100-(L9*100+M9*10)</f>
        <v>0</v>
      </c>
      <c r="O9" s="392">
        <f>ROUNDDOWN($C$9,-1)/10-(L9*1000+M9*100+N9*10)</f>
        <v>0</v>
      </c>
      <c r="P9" s="392">
        <f>ROUNDDOWN($C$9,0)-(L9*10000+M9*1000+N9*100+O9*10)</f>
        <v>0</v>
      </c>
      <c r="Q9" s="392"/>
      <c r="R9" s="392"/>
      <c r="S9" s="392"/>
      <c r="T9" s="392"/>
      <c r="U9" s="392"/>
      <c r="V9" s="392"/>
      <c r="W9" s="392"/>
    </row>
    <row r="10" spans="1:23" ht="15.75">
      <c r="A10" s="583"/>
      <c r="B10" s="12" t="str">
        <f>IF(D9&lt;&gt;"","","+2ème Nombre ===&gt;")</f>
        <v/>
      </c>
      <c r="C10" s="13" t="str">
        <f>IF(D9&lt;&gt;"","",C24&amp;D24&amp;" "&amp;E24&amp;F24&amp;G24)</f>
        <v/>
      </c>
      <c r="D10" s="580" t="str">
        <f>IF(C11&lt;&gt;"","",IF(C10&lt;&gt;"","&lt;&lt; Voici mon nombre",""))</f>
        <v/>
      </c>
      <c r="E10" s="580"/>
      <c r="F10" s="580"/>
      <c r="G10" s="580"/>
      <c r="H10" s="580"/>
      <c r="I10" s="580"/>
      <c r="J10" s="10"/>
      <c r="K10" s="392" t="s">
        <v>442</v>
      </c>
      <c r="L10" s="392">
        <f>IF(OR(L9=M9,L9=N9,L9=O9,L9=P9),1,0)</f>
        <v>1</v>
      </c>
      <c r="M10" s="392">
        <f>IF(OR(M9=N9,M9=O9,M9=P9),1,0)</f>
        <v>1</v>
      </c>
      <c r="N10" s="392">
        <f>IF(OR(N9=O9,N9=P9),1,0)</f>
        <v>1</v>
      </c>
      <c r="O10" s="392">
        <f>IF(O9=P9,1,0)</f>
        <v>1</v>
      </c>
      <c r="P10" s="392"/>
      <c r="Q10" s="392"/>
      <c r="R10" s="393">
        <f>IF($C$9="",0,IF(OR(L9&gt;9,L10+M10+N10+O10&lt;&gt;0),"!",0))</f>
        <v>0</v>
      </c>
      <c r="S10" s="392" t="str">
        <f>IF(L9&gt;9,"Merci de renseigner un nombre entier compris entre 0 et 99 999.","Vous avez renseignez plusieurs fois le : "&amp;IF(L10=1,L9&amp;", ","")&amp;IF(AND(M10=1,L9&lt;&gt;M9),M9&amp;", ","")&amp;IF(AND(N10=1,L9&lt;&gt;N9,M9&lt;&gt;N9),N9&amp;", ","")&amp;IF(AND(O10=1,L9&lt;&gt;O9,M9&lt;&gt;O9,N9&lt;&gt;O9),O9&amp;", ",""))</f>
        <v xml:space="preserve">Vous avez renseignez plusieurs fois le : 0, </v>
      </c>
      <c r="T10" s="392"/>
      <c r="U10" s="392"/>
      <c r="V10" s="392"/>
      <c r="W10" s="392"/>
    </row>
    <row r="11" spans="1:23">
      <c r="A11" s="583"/>
      <c r="B11" s="14" t="str">
        <f>IF(B10&lt;&gt;"","+3ème Nombre ===&gt;","")</f>
        <v/>
      </c>
      <c r="C11" s="15"/>
      <c r="D11" s="579" t="str">
        <f>IF(B11="","",IF(AND(B11&lt;&gt;"",C11=""),"&lt;&lt; Veuillez saisir votre nombre",IF(OR(ISNUMBER(C11)=FALSE,C11&gt;99999,R12="!"),S12,"")))</f>
        <v/>
      </c>
      <c r="E11" s="579"/>
      <c r="F11" s="579"/>
      <c r="G11" s="579"/>
      <c r="H11" s="579"/>
      <c r="I11" s="579"/>
      <c r="J11" s="10"/>
      <c r="K11" s="394" t="s">
        <v>441</v>
      </c>
      <c r="L11" s="394">
        <f>ROUNDDOWN($C$11,-4)/10000</f>
        <v>0</v>
      </c>
      <c r="M11" s="394">
        <f>ROUNDDOWN($C$11,-3)/1000-L11*10</f>
        <v>0</v>
      </c>
      <c r="N11" s="394">
        <f>ROUNDDOWN($C$11,-2)/100-(L11*100+M11*10)</f>
        <v>0</v>
      </c>
      <c r="O11" s="394">
        <f>ROUNDDOWN($C$11,-1)/10-(L11*1000+M11*100+N11*10)</f>
        <v>0</v>
      </c>
      <c r="P11" s="394">
        <f>ROUNDDOWN($C$11,0)-(L11*10000+M11*1000+N11*100+O11*10)</f>
        <v>0</v>
      </c>
      <c r="Q11" s="394"/>
      <c r="R11" s="394"/>
      <c r="S11" s="394"/>
      <c r="T11" s="394"/>
      <c r="U11" s="394"/>
      <c r="V11" s="394"/>
      <c r="W11" s="394"/>
    </row>
    <row r="12" spans="1:23" ht="15.75">
      <c r="A12" s="583"/>
      <c r="B12" s="12" t="str">
        <f>IF(OR(C10="",D11&lt;&gt;""),"","+4ème Nombre ===&gt;")</f>
        <v/>
      </c>
      <c r="C12" s="13" t="str">
        <f>IF(D11&lt;&gt;"","",C26&amp;D26&amp;" "&amp;E26&amp;F26&amp;G26)</f>
        <v xml:space="preserve"> </v>
      </c>
      <c r="D12" s="580" t="str">
        <f>IF(OR(H4=4,C12="",C13&lt;&gt;""),"",IF(C12&lt;&gt;" ","&lt;&lt; Voici mon nombre",""))</f>
        <v/>
      </c>
      <c r="E12" s="580"/>
      <c r="F12" s="580"/>
      <c r="G12" s="580"/>
      <c r="H12" s="580"/>
      <c r="I12" s="580"/>
      <c r="J12" s="10"/>
      <c r="K12" s="394" t="s">
        <v>442</v>
      </c>
      <c r="L12" s="394">
        <f>IF(OR(L11=M11,L11=N11,L11=O11,L11=P11),1,0)</f>
        <v>1</v>
      </c>
      <c r="M12" s="394">
        <f>IF(OR(M11=N11,M11=O11,M11=P11),1,0)</f>
        <v>1</v>
      </c>
      <c r="N12" s="394">
        <f>IF(OR(N11=O11,N11=P11),1,0)</f>
        <v>1</v>
      </c>
      <c r="O12" s="394">
        <f>IF(O11=P11,1,0)</f>
        <v>1</v>
      </c>
      <c r="P12" s="394"/>
      <c r="Q12" s="394"/>
      <c r="R12" s="395">
        <f>IF($C$11="",0,IF(OR(L11&gt;9,L12+M12+N12+O12&lt;&gt;0),"!",0))</f>
        <v>0</v>
      </c>
      <c r="S12" s="394" t="str">
        <f t="shared" ref="S12" si="1">IF(L11&gt;9,"Merci de renseigner un nombre entier compris entre 0 et 99 999.","Vous avez renseignez plusieurs fois le : "&amp;IF(L12=1,L11&amp;", ","")&amp;IF(AND(M12=1,L11&lt;&gt;M11),M11&amp;", ","")&amp;IF(AND(N12=1,L11&lt;&gt;N11,M11&lt;&gt;N11),N11&amp;", ","")&amp;IF(AND(O12=1,L11&lt;&gt;O11,M11&lt;&gt;O11,N11&lt;&gt;O11),O11&amp;", ",""))</f>
        <v xml:space="preserve">Vous avez renseignez plusieurs fois le : 0, </v>
      </c>
      <c r="T12" s="394"/>
      <c r="U12" s="394"/>
      <c r="V12" s="394"/>
      <c r="W12" s="394"/>
    </row>
    <row r="13" spans="1:23">
      <c r="A13" s="583"/>
      <c r="B13" s="14" t="str">
        <f>IF(OR($H$4=6,$H$4=8),IF(B12&lt;&gt;"","+5ème Nombre ===&gt;",""),"")</f>
        <v/>
      </c>
      <c r="C13" s="15"/>
      <c r="D13" s="579" t="str">
        <f>IF(B13="","",IF(AND(B13&lt;&gt;"",C13=""),"&lt;&lt; Veuillez saisir votre nombre",IF(OR(ISNUMBER(C13)=FALSE,C13&gt;99999,R14="!"),S14,"")))</f>
        <v/>
      </c>
      <c r="E13" s="579"/>
      <c r="F13" s="579"/>
      <c r="G13" s="579"/>
      <c r="H13" s="579"/>
      <c r="I13" s="579"/>
      <c r="J13" s="10"/>
      <c r="K13" s="392" t="s">
        <v>441</v>
      </c>
      <c r="L13" s="392">
        <f>ROUNDDOWN($C$13,-4)/10000</f>
        <v>0</v>
      </c>
      <c r="M13" s="392">
        <f>ROUNDDOWN($C$13,-3)/1000-L13*10</f>
        <v>0</v>
      </c>
      <c r="N13" s="392">
        <f>ROUNDDOWN($C$13,-2)/100-(L13*100+M13*10)</f>
        <v>0</v>
      </c>
      <c r="O13" s="392">
        <f>ROUNDDOWN($C$13,-1)/10-(L13*1000+M13*100+N13*10)</f>
        <v>0</v>
      </c>
      <c r="P13" s="392">
        <f>ROUNDDOWN($C$13,0)-(L13*10000+M13*1000+N13*100+O13*10)</f>
        <v>0</v>
      </c>
      <c r="Q13" s="392"/>
      <c r="R13" s="392"/>
      <c r="S13" s="392"/>
      <c r="T13" s="392"/>
      <c r="U13" s="392"/>
      <c r="V13" s="392"/>
      <c r="W13" s="392"/>
    </row>
    <row r="14" spans="1:23" ht="15.75">
      <c r="A14" s="583"/>
      <c r="B14" s="12" t="str">
        <f>IF(OR($H$4=6,$H$4=8),IF(OR(B13="",C12="",D13&lt;&gt;""),"","+6ème Nombre ===&gt;"),"")</f>
        <v/>
      </c>
      <c r="C14" s="13" t="str">
        <f>IF(D13&lt;&gt;"","",C28&amp;D28&amp;" "&amp;E28&amp;F28&amp;G28)</f>
        <v xml:space="preserve"> </v>
      </c>
      <c r="D14" s="580" t="str">
        <f>IF(OR(H4=6,C14="",C15&lt;&gt;""),"",IF(C14&lt;&gt;" ","&lt;&lt; Voici mon nombre",""))</f>
        <v/>
      </c>
      <c r="E14" s="580"/>
      <c r="F14" s="580"/>
      <c r="G14" s="580"/>
      <c r="H14" s="580"/>
      <c r="I14" s="580"/>
      <c r="J14" s="10"/>
      <c r="K14" s="392" t="s">
        <v>442</v>
      </c>
      <c r="L14" s="392">
        <f>IF(OR(L13=M13,L13=N13,L13=O13,L13=P13),1,0)</f>
        <v>1</v>
      </c>
      <c r="M14" s="392">
        <f>IF(OR(M13=N13,M13=O13,M13=P13),1,0)</f>
        <v>1</v>
      </c>
      <c r="N14" s="392">
        <f>IF(OR(N13=O13,N13=P13),1,0)</f>
        <v>1</v>
      </c>
      <c r="O14" s="392">
        <f>IF(O13=P13,1,0)</f>
        <v>1</v>
      </c>
      <c r="P14" s="392"/>
      <c r="Q14" s="392"/>
      <c r="R14" s="393">
        <f>IF($C$13="",0,IF(OR(L13&gt;9,L14+M14+N14+O14&lt;&gt;0),"!",0))</f>
        <v>0</v>
      </c>
      <c r="S14" s="392" t="str">
        <f>IF(L13&gt;9,"Merci de renseigner un nombre entier compris entre 0 et 99 999.","Vous avez renseignez plusieurs fois le : "&amp;IF(L14=1,L13&amp;", ","")&amp;IF(AND(M14=1,L13&lt;&gt;M13),M13&amp;", ","")&amp;IF(AND(N14=1,L13&lt;&gt;N13,M13&lt;&gt;N13),N13&amp;", ","")&amp;IF(AND(O14=1,L13&lt;&gt;O13,M13&lt;&gt;O13,N13&lt;&gt;O13),O13&amp;", ",""))</f>
        <v xml:space="preserve">Vous avez renseignez plusieurs fois le : 0, </v>
      </c>
      <c r="T14" s="392"/>
      <c r="U14" s="392"/>
      <c r="V14" s="392"/>
      <c r="W14" s="392"/>
    </row>
    <row r="15" spans="1:23">
      <c r="A15" s="583"/>
      <c r="B15" s="14" t="str">
        <f>IF($H$4=8,IF(B14&lt;&gt;"","+7ème Nombre ===&gt;",""),"")</f>
        <v/>
      </c>
      <c r="C15" s="15"/>
      <c r="D15" s="579" t="str">
        <f>IF(B15="","",IF(AND(B15&lt;&gt;"",C15=""),"&lt;&lt; Veuillez saisir votre nombre",IF(OR(ISNUMBER(C15)=FALSE,C15&gt;99999,R16="!"),S16,"")))</f>
        <v/>
      </c>
      <c r="E15" s="579"/>
      <c r="F15" s="579"/>
      <c r="G15" s="579"/>
      <c r="H15" s="579"/>
      <c r="I15" s="579"/>
      <c r="J15" s="10"/>
      <c r="K15" s="394" t="s">
        <v>441</v>
      </c>
      <c r="L15" s="394">
        <f>ROUNDDOWN($C$15,-4)/10000</f>
        <v>0</v>
      </c>
      <c r="M15" s="394">
        <f>ROUNDDOWN($C$15,-3)/1000-L15*10</f>
        <v>0</v>
      </c>
      <c r="N15" s="394">
        <f>ROUNDDOWN($C$15,-2)/100-(L15*100+M15*10)</f>
        <v>0</v>
      </c>
      <c r="O15" s="394">
        <f>ROUNDDOWN($C$15,-1)/10-(L15*1000+M15*100+N15*10)</f>
        <v>0</v>
      </c>
      <c r="P15" s="394">
        <f>ROUNDDOWN($C$15,0)-(L15*10000+M15*1000+N15*100+O15*10)</f>
        <v>0</v>
      </c>
      <c r="Q15" s="394"/>
      <c r="R15" s="394"/>
      <c r="S15" s="394"/>
      <c r="T15" s="394"/>
      <c r="U15" s="394"/>
      <c r="V15" s="394"/>
      <c r="W15" s="394"/>
    </row>
    <row r="16" spans="1:23" ht="15.75">
      <c r="A16" s="583"/>
      <c r="B16" s="12" t="str">
        <f>IF($H$4=8,IF(OR(B15="",C14="",D15&lt;&gt;""),"","+8ème Nombre ===&gt;"),"")</f>
        <v/>
      </c>
      <c r="C16" s="13" t="str">
        <f>IF(D15&lt;&gt;"","",C30&amp;D30&amp;" "&amp;E30&amp;F30&amp;G30)</f>
        <v xml:space="preserve"> </v>
      </c>
      <c r="D16" s="579"/>
      <c r="E16" s="579"/>
      <c r="F16" s="579"/>
      <c r="G16" s="579"/>
      <c r="H16" s="579"/>
      <c r="I16" s="579"/>
      <c r="J16" s="10"/>
      <c r="K16" s="394" t="s">
        <v>442</v>
      </c>
      <c r="L16" s="394">
        <f>IF(OR(L15=M15,L15=N15,L15=O15,L15=P15),1,0)</f>
        <v>1</v>
      </c>
      <c r="M16" s="394">
        <f>IF(OR(M15=N15,M15=O15,M15=P15),1,0)</f>
        <v>1</v>
      </c>
      <c r="N16" s="394">
        <f>IF(OR(N15=O15,N15=P15),1,0)</f>
        <v>1</v>
      </c>
      <c r="O16" s="394">
        <f>IF(O15=P15,1,0)</f>
        <v>1</v>
      </c>
      <c r="P16" s="394"/>
      <c r="Q16" s="394"/>
      <c r="R16" s="395">
        <f>IF($C$15="",0,IF(OR(L15&gt;9,L16+M16+N16+O16&lt;&gt;0),"!",0))</f>
        <v>0</v>
      </c>
      <c r="S16" s="394" t="str">
        <f>IF(L15&gt;9,"Merci de renseigner un nombre entier compris entre 0 et 99 999.","Vous avez renseignez plusieurs fois le : "&amp;IF(L16=1,L15&amp;", ","")&amp;IF(AND(M16=1,L15&lt;&gt;M15),M15&amp;", ","")&amp;IF(AND(N16=1,L15&lt;&gt;N15,M15&lt;&gt;N15),N15&amp;", ","")&amp;IF(AND(O16=1,L15&lt;&gt;O15,M15&lt;&gt;O15,N15&lt;&gt;O15),O15&amp;", ",""))</f>
        <v xml:space="preserve">Vous avez renseignez plusieurs fois le : 0, </v>
      </c>
      <c r="T16" s="394"/>
      <c r="U16" s="394"/>
      <c r="V16" s="394"/>
      <c r="W16" s="394"/>
    </row>
    <row r="17" spans="1:23">
      <c r="A17" s="583"/>
      <c r="B17" s="584"/>
      <c r="C17" s="584"/>
      <c r="D17" s="584"/>
      <c r="E17" s="584"/>
      <c r="F17" s="584"/>
      <c r="G17" s="584"/>
      <c r="H17" s="584"/>
      <c r="I17" s="584"/>
      <c r="J17" s="10"/>
      <c r="K17" s="10"/>
      <c r="L17" s="10"/>
      <c r="M17" s="10"/>
      <c r="N17" s="10"/>
      <c r="O17" s="10"/>
      <c r="P17" s="10"/>
      <c r="Q17" s="10"/>
      <c r="R17" s="10"/>
      <c r="S17" s="10"/>
      <c r="T17" s="10"/>
      <c r="U17" s="10"/>
      <c r="V17" s="10"/>
      <c r="W17" s="10"/>
    </row>
    <row r="18" spans="1:23" ht="15" customHeight="1">
      <c r="A18" s="583"/>
      <c r="B18" s="587" t="str">
        <f>IF(OR(C18=" ",C18="!"),"","TOTAL")</f>
        <v/>
      </c>
      <c r="C18" s="588" t="str">
        <f>IF(OR(R10="!",R12="!",R14="!",R16="!"),"!",C31&amp;D31&amp;" "&amp;E31&amp;F31&amp;G31)</f>
        <v xml:space="preserve"> </v>
      </c>
      <c r="D18" s="585" t="str">
        <f>IF(C18="!","Il semblerait qu'il y ai une erreur de saisie ! Merci de vérifiez...",IF(C9="","Je vous donnerais le résultat dès que vous aurez saisi votre premier nombre."," &lt;&lt;   Voici le résultat de l'addition."))</f>
        <v>Je vous donnerais le résultat dès que vous aurez saisi votre premier nombre.</v>
      </c>
      <c r="E18" s="585"/>
      <c r="F18" s="585"/>
      <c r="G18" s="585"/>
      <c r="H18" s="585"/>
      <c r="I18" s="585"/>
      <c r="J18" s="10"/>
      <c r="K18" s="10"/>
      <c r="L18" s="10"/>
      <c r="M18" s="10"/>
      <c r="N18" s="10"/>
      <c r="O18" s="10"/>
      <c r="P18" s="10"/>
      <c r="Q18" s="10"/>
      <c r="R18" s="10"/>
      <c r="S18" s="10"/>
      <c r="T18" s="10"/>
      <c r="U18" s="10"/>
      <c r="V18" s="10"/>
      <c r="W18" s="10"/>
    </row>
    <row r="19" spans="1:23" ht="15" customHeight="1">
      <c r="A19" s="583"/>
      <c r="B19" s="587"/>
      <c r="C19" s="588"/>
      <c r="D19" s="585"/>
      <c r="E19" s="585"/>
      <c r="F19" s="585"/>
      <c r="G19" s="585"/>
      <c r="H19" s="585"/>
      <c r="I19" s="585"/>
      <c r="J19" s="10"/>
      <c r="K19" s="10"/>
      <c r="L19" s="10"/>
      <c r="M19" s="10"/>
      <c r="N19" s="10"/>
      <c r="O19" s="10"/>
      <c r="P19" s="10"/>
      <c r="Q19" s="10"/>
      <c r="R19" s="10"/>
      <c r="S19" s="10"/>
      <c r="T19" s="10"/>
      <c r="U19" s="10"/>
      <c r="V19" s="10"/>
      <c r="W19" s="10"/>
    </row>
    <row r="20" spans="1:23" ht="15" hidden="1" customHeight="1">
      <c r="A20" s="583"/>
      <c r="B20" s="9"/>
      <c r="C20" s="11" t="s">
        <v>93</v>
      </c>
      <c r="D20" s="11" t="s">
        <v>94</v>
      </c>
      <c r="E20" s="11" t="s">
        <v>95</v>
      </c>
      <c r="F20" s="11" t="s">
        <v>96</v>
      </c>
      <c r="G20" s="11" t="s">
        <v>97</v>
      </c>
      <c r="H20" s="9"/>
      <c r="I20" s="396"/>
      <c r="J20" s="10"/>
      <c r="K20" s="10"/>
      <c r="L20" s="10"/>
      <c r="M20" s="10"/>
      <c r="N20" s="10"/>
      <c r="O20" s="10"/>
      <c r="P20" s="10"/>
      <c r="Q20" s="10"/>
      <c r="R20" s="10"/>
      <c r="S20" s="10"/>
      <c r="T20" s="10"/>
      <c r="U20" s="10"/>
      <c r="V20" s="10"/>
      <c r="W20" s="10"/>
    </row>
    <row r="21" spans="1:23" ht="15" hidden="1" customHeight="1">
      <c r="A21" s="583"/>
      <c r="B21" s="9"/>
      <c r="C21" s="11">
        <v>10000</v>
      </c>
      <c r="D21" s="11">
        <v>1000</v>
      </c>
      <c r="E21" s="11">
        <v>100</v>
      </c>
      <c r="F21" s="11">
        <v>10</v>
      </c>
      <c r="G21" s="11">
        <v>1</v>
      </c>
      <c r="H21" s="9"/>
      <c r="I21" s="396"/>
      <c r="J21" s="10"/>
      <c r="K21" s="10"/>
      <c r="L21" s="10"/>
      <c r="M21" s="10"/>
      <c r="N21" s="10"/>
      <c r="O21" s="10"/>
      <c r="P21" s="10"/>
      <c r="Q21" s="10"/>
      <c r="R21" s="10"/>
      <c r="S21" s="10"/>
      <c r="T21" s="10"/>
      <c r="U21" s="10"/>
      <c r="V21" s="10"/>
      <c r="W21" s="10"/>
    </row>
    <row r="22" spans="1:23" ht="15" hidden="1" customHeight="1">
      <c r="A22" s="583"/>
      <c r="B22" s="9" t="s">
        <v>91</v>
      </c>
      <c r="C22" s="9" t="str">
        <f>+IF($H$3="","",ROUNDDOWN($H$3/$C$21,0))</f>
        <v/>
      </c>
      <c r="D22" s="9" t="str">
        <f>+IF($H$3="","",ROUNDDOWN(($H$3-$C$22*$C$21)/$D$21,0))</f>
        <v/>
      </c>
      <c r="E22" s="9" t="str">
        <f>+IF($H$3="","",ROUNDDOWN(($H$3-$C$22*$C$21-$D$22*$D$21)/$E$21,0))</f>
        <v/>
      </c>
      <c r="F22" s="9" t="str">
        <f>+IF($H$3="","",ROUNDDOWN(($H$3-$C$22*$C$21-$D$22*$D$21-$E$22*$E$21)/$F$21,0))</f>
        <v/>
      </c>
      <c r="G22" s="9" t="str">
        <f>+IF($H$3="","",ROUNDDOWN(($H$3-$C$22*$C$21-$D$22*$D$21-$E$22*$E$21-$F$22*$F$21)/$G$21,0))</f>
        <v/>
      </c>
      <c r="H22" s="9"/>
      <c r="I22" s="396"/>
      <c r="J22" s="10"/>
      <c r="K22" s="10"/>
      <c r="L22" s="10"/>
      <c r="M22" s="10"/>
      <c r="N22" s="10"/>
      <c r="O22" s="10"/>
      <c r="P22" s="10"/>
      <c r="Q22" s="10"/>
      <c r="R22" s="10"/>
      <c r="S22" s="10"/>
      <c r="T22" s="10"/>
      <c r="U22" s="10"/>
      <c r="V22" s="10"/>
      <c r="W22" s="10"/>
    </row>
    <row r="23" spans="1:23" ht="15" hidden="1" customHeight="1">
      <c r="A23" s="583"/>
      <c r="B23" s="447" t="s">
        <v>98</v>
      </c>
      <c r="C23" s="447" t="str">
        <f>+IF($C$9="","",ROUNDDOWN($C$9/$C$21,0))</f>
        <v/>
      </c>
      <c r="D23" s="447" t="str">
        <f>+IF($C$9="","",ROUNDDOWN(($C$9-$C$23*$C$21)/$D$21,0))</f>
        <v/>
      </c>
      <c r="E23" s="447" t="str">
        <f>+IF($C$9="","",ROUNDDOWN(($C$9-$C$23*$C$21-$D$23*$D$21)/$E$21,0))</f>
        <v/>
      </c>
      <c r="F23" s="447" t="str">
        <f>+IF($C$9="","",ROUNDDOWN(($C$9-$C$23*$C$21-$D$23*$D$21-$E$23*$E$21)/$F$21,0))</f>
        <v/>
      </c>
      <c r="G23" s="447" t="str">
        <f>+IF($C$9="","",ROUNDDOWN(($C$9-$C$23*$C$21-$D$23*$D$21-$E$23*$E$21-$F$23*$F$21)/$G$21,0))</f>
        <v/>
      </c>
      <c r="H23" s="447"/>
      <c r="I23" s="448"/>
      <c r="J23" s="10"/>
      <c r="K23" s="10"/>
      <c r="L23" s="10"/>
      <c r="M23" s="10"/>
      <c r="N23" s="10"/>
      <c r="O23" s="10"/>
      <c r="P23" s="10"/>
      <c r="Q23" s="10"/>
      <c r="R23" s="10"/>
      <c r="S23" s="10"/>
      <c r="T23" s="10"/>
      <c r="U23" s="10"/>
      <c r="V23" s="10"/>
      <c r="W23" s="10"/>
    </row>
    <row r="24" spans="1:23" ht="15" hidden="1" customHeight="1">
      <c r="A24" s="583"/>
      <c r="B24" s="447" t="s">
        <v>99</v>
      </c>
      <c r="C24" s="447" t="str">
        <f>IF(C23="","",9-C23)</f>
        <v/>
      </c>
      <c r="D24" s="447" t="str">
        <f>IF(D23="","",9-D23)</f>
        <v/>
      </c>
      <c r="E24" s="447" t="str">
        <f>IF(E23="","",9-E23)</f>
        <v/>
      </c>
      <c r="F24" s="447" t="str">
        <f>IF(F23="","",9-F23)</f>
        <v/>
      </c>
      <c r="G24" s="447" t="str">
        <f>IF(G23="","",9-G23)</f>
        <v/>
      </c>
      <c r="H24" s="447"/>
      <c r="I24" s="448"/>
      <c r="J24" s="10"/>
      <c r="K24" s="10"/>
      <c r="L24" s="10"/>
      <c r="M24" s="10"/>
      <c r="N24" s="10"/>
      <c r="O24" s="10"/>
      <c r="P24" s="10"/>
      <c r="Q24" s="10"/>
      <c r="R24" s="10"/>
      <c r="S24" s="10"/>
      <c r="T24" s="10"/>
      <c r="U24" s="10"/>
      <c r="V24" s="10"/>
      <c r="W24" s="10"/>
    </row>
    <row r="25" spans="1:23" ht="15" hidden="1" customHeight="1">
      <c r="A25" s="583"/>
      <c r="B25" s="447" t="s">
        <v>100</v>
      </c>
      <c r="C25" s="447" t="str">
        <f>+IF($C$11="","",ROUNDDOWN($C$11/$C$21,0))</f>
        <v/>
      </c>
      <c r="D25" s="447" t="str">
        <f>+IF($C$11="","",ROUNDDOWN(($C$11-$C$25*$C$21)/$D$21,0))</f>
        <v/>
      </c>
      <c r="E25" s="447" t="str">
        <f>+IF($C$11="","",ROUNDDOWN(($C$11-$C$25*$C$21-$D$25*$D$21)/$E$21,0))</f>
        <v/>
      </c>
      <c r="F25" s="447" t="str">
        <f>+IF($C$11="","",ROUNDDOWN(($C$11-$C$25*$C$21-$D$25*$D$21-$E$25*$E$21)/$F$21,0))</f>
        <v/>
      </c>
      <c r="G25" s="447" t="str">
        <f>+IF($C$11="","",ROUNDDOWN(($C$11-$C$25*$C$21-$D$25*$D$21-$E$25*$E$21-$F$25*$F$21)/$G$21,0))</f>
        <v/>
      </c>
      <c r="H25" s="447"/>
      <c r="I25" s="448"/>
      <c r="J25" s="10"/>
      <c r="K25" s="10"/>
      <c r="L25" s="10"/>
      <c r="M25" s="10"/>
      <c r="N25" s="10"/>
      <c r="O25" s="10"/>
      <c r="P25" s="10"/>
      <c r="Q25" s="10"/>
      <c r="R25" s="10"/>
      <c r="S25" s="10"/>
      <c r="T25" s="10"/>
      <c r="U25" s="10"/>
      <c r="V25" s="10"/>
      <c r="W25" s="10"/>
    </row>
    <row r="26" spans="1:23" ht="15" hidden="1" customHeight="1">
      <c r="A26" s="583"/>
      <c r="B26" s="447" t="s">
        <v>101</v>
      </c>
      <c r="C26" s="447" t="str">
        <f>IF(C25="","",9-C25)</f>
        <v/>
      </c>
      <c r="D26" s="447" t="str">
        <f>IF(D25="","",9-D25)</f>
        <v/>
      </c>
      <c r="E26" s="447" t="str">
        <f>IF(E25="","",9-E25)</f>
        <v/>
      </c>
      <c r="F26" s="447" t="str">
        <f>IF(F25="","",9-F25)</f>
        <v/>
      </c>
      <c r="G26" s="447" t="str">
        <f>IF(G25="","",9-G25)</f>
        <v/>
      </c>
      <c r="H26" s="447"/>
      <c r="I26" s="448"/>
      <c r="J26" s="10"/>
      <c r="K26" s="10"/>
      <c r="L26" s="10"/>
      <c r="M26" s="10"/>
      <c r="N26" s="10"/>
      <c r="O26" s="10"/>
      <c r="P26" s="10"/>
      <c r="Q26" s="10"/>
      <c r="R26" s="10"/>
      <c r="S26" s="10"/>
      <c r="T26" s="10"/>
      <c r="U26" s="10"/>
      <c r="V26" s="10"/>
      <c r="W26" s="10"/>
    </row>
    <row r="27" spans="1:23" ht="15" hidden="1" customHeight="1">
      <c r="A27" s="583"/>
      <c r="B27" s="447" t="s">
        <v>102</v>
      </c>
      <c r="C27" s="447" t="str">
        <f>+IF($C$13="","",ROUNDDOWN($C$13/$C$21,0))</f>
        <v/>
      </c>
      <c r="D27" s="447" t="str">
        <f>+IF($C$13="","",ROUNDDOWN(($C$13-$C$27*$C$21)/$D$21,0))</f>
        <v/>
      </c>
      <c r="E27" s="447" t="str">
        <f>+IF($C$13="","",ROUNDDOWN(($C$13-$C$27*$C$21-$D$27*$D$21)/$E$21,0))</f>
        <v/>
      </c>
      <c r="F27" s="447" t="str">
        <f>+IF($C$13="","",ROUNDDOWN(($C$13-$C$27*$C$21-$D$27*$D$21-$E$27*$E$21)/$F$21,0))</f>
        <v/>
      </c>
      <c r="G27" s="447" t="str">
        <f>+IF($C$13="","",ROUNDDOWN(($C$13-$C$27*$C$21-$D$27*$D$21-$E$27*$E$21-$F$27*$F$21)/$G$21,0))</f>
        <v/>
      </c>
      <c r="H27" s="447"/>
      <c r="I27" s="448"/>
      <c r="J27" s="10"/>
      <c r="K27" s="10"/>
      <c r="L27" s="10"/>
      <c r="M27" s="10"/>
      <c r="N27" s="10"/>
      <c r="O27" s="10"/>
      <c r="P27" s="10"/>
      <c r="Q27" s="10"/>
      <c r="R27" s="10"/>
      <c r="S27" s="10"/>
      <c r="T27" s="10"/>
      <c r="U27" s="10"/>
      <c r="V27" s="10"/>
      <c r="W27" s="10"/>
    </row>
    <row r="28" spans="1:23" ht="15" hidden="1" customHeight="1">
      <c r="A28" s="583"/>
      <c r="B28" s="447" t="s">
        <v>103</v>
      </c>
      <c r="C28" s="447" t="str">
        <f>IF(C27="","",9-C27)</f>
        <v/>
      </c>
      <c r="D28" s="447" t="str">
        <f>IF(D27="","",9-D27)</f>
        <v/>
      </c>
      <c r="E28" s="447" t="str">
        <f>IF(E27="","",9-E27)</f>
        <v/>
      </c>
      <c r="F28" s="447" t="str">
        <f>IF(F27="","",9-F27)</f>
        <v/>
      </c>
      <c r="G28" s="447" t="str">
        <f>IF(G27="","",9-G27)</f>
        <v/>
      </c>
      <c r="H28" s="447"/>
      <c r="I28" s="448"/>
      <c r="J28" s="10"/>
      <c r="K28" s="10"/>
      <c r="L28" s="10"/>
      <c r="M28" s="10"/>
      <c r="N28" s="10"/>
      <c r="O28" s="10"/>
      <c r="P28" s="10"/>
      <c r="Q28" s="10"/>
      <c r="R28" s="10"/>
      <c r="S28" s="10"/>
      <c r="T28" s="10"/>
      <c r="U28" s="10"/>
      <c r="V28" s="10"/>
      <c r="W28" s="10"/>
    </row>
    <row r="29" spans="1:23" ht="15" hidden="1" customHeight="1">
      <c r="A29" s="583"/>
      <c r="B29" s="447" t="s">
        <v>104</v>
      </c>
      <c r="C29" s="447" t="str">
        <f>+IF($C$15="","",ROUNDDOWN($C$15/$C$21,0))</f>
        <v/>
      </c>
      <c r="D29" s="447" t="str">
        <f>+IF($C$15="","",ROUNDDOWN(($C$15-$C$29*$C$21)/$D$21,0))</f>
        <v/>
      </c>
      <c r="E29" s="447" t="str">
        <f>+IF($C$15="","",ROUNDDOWN(($C$15-$C$29*$C$21-$D$29*$D$21)/$E$21,0))</f>
        <v/>
      </c>
      <c r="F29" s="447" t="str">
        <f>+IF($C$15="","",ROUNDDOWN(($C$15-$C$29*$C$21-$D$29*$D$21-$E$29*$E$21)/$F$21,0))</f>
        <v/>
      </c>
      <c r="G29" s="447" t="str">
        <f>+IF($C$15="","",ROUNDDOWN(($C$15-$C$29*$C$21-$D$29*$D$21-$E$29*$E$21-$F$29*$F$21)/$G$21,0))</f>
        <v/>
      </c>
      <c r="H29" s="447"/>
      <c r="I29" s="448"/>
      <c r="J29" s="10"/>
      <c r="K29" s="10"/>
      <c r="L29" s="10"/>
      <c r="M29" s="10"/>
      <c r="N29" s="10"/>
      <c r="O29" s="10"/>
      <c r="P29" s="10"/>
      <c r="Q29" s="10"/>
      <c r="R29" s="10"/>
      <c r="S29" s="10"/>
      <c r="T29" s="10"/>
      <c r="U29" s="10"/>
      <c r="V29" s="10"/>
      <c r="W29" s="10"/>
    </row>
    <row r="30" spans="1:23" ht="15" hidden="1" customHeight="1">
      <c r="A30" s="583"/>
      <c r="B30" s="447" t="s">
        <v>105</v>
      </c>
      <c r="C30" s="447" t="str">
        <f>IF(C29="","",9-C29)</f>
        <v/>
      </c>
      <c r="D30" s="447" t="str">
        <f>IF(D29="","",9-D29)</f>
        <v/>
      </c>
      <c r="E30" s="447" t="str">
        <f>IF(E29="","",9-E29)</f>
        <v/>
      </c>
      <c r="F30" s="447" t="str">
        <f>IF(F29="","",9-F29)</f>
        <v/>
      </c>
      <c r="G30" s="447" t="str">
        <f>IF(G29="","",9-G29)</f>
        <v/>
      </c>
      <c r="H30" s="447"/>
      <c r="I30" s="448"/>
      <c r="J30" s="10"/>
      <c r="K30" s="10"/>
      <c r="L30" s="10"/>
      <c r="M30" s="10"/>
      <c r="N30" s="10"/>
      <c r="O30" s="10"/>
      <c r="P30" s="10"/>
      <c r="Q30" s="10"/>
      <c r="R30" s="10"/>
      <c r="S30" s="10"/>
      <c r="T30" s="10"/>
      <c r="U30" s="10"/>
      <c r="V30" s="10"/>
      <c r="W30" s="10"/>
    </row>
    <row r="31" spans="1:23" ht="15" hidden="1" customHeight="1">
      <c r="A31" s="583"/>
      <c r="B31" s="447" t="s">
        <v>92</v>
      </c>
      <c r="C31" s="447" t="str">
        <f>+IF(B32="","",ROUNDDOWN(B32/$C$21,0))</f>
        <v/>
      </c>
      <c r="D31" s="447" t="str">
        <f>+IF(B32="","",ROUNDDOWN((B32-C31*$C$21)/$D$21,0))</f>
        <v/>
      </c>
      <c r="E31" s="447" t="str">
        <f>+IF(B32="","",ROUNDDOWN((B32-C31*$C$21-D31*$D$21)/$E$21,0))</f>
        <v/>
      </c>
      <c r="F31" s="447" t="str">
        <f>+IF(B32="","",ROUNDDOWN((B32-C31*$C$21-D31*$D$21-E31*$E$21)/$F$21,0))</f>
        <v/>
      </c>
      <c r="G31" s="447" t="str">
        <f>+IF(B32="","",ROUNDDOWN((B32-C31*$C$21-D31*$D$21-E31*$E$21-F31*$F$21)/$G$21,0))</f>
        <v/>
      </c>
      <c r="H31" s="447"/>
      <c r="I31" s="448"/>
      <c r="J31" s="10"/>
      <c r="K31" s="10"/>
      <c r="L31" s="10"/>
      <c r="M31" s="10"/>
      <c r="N31" s="10"/>
      <c r="O31" s="10"/>
      <c r="P31" s="10"/>
      <c r="Q31" s="10"/>
      <c r="R31" s="10"/>
      <c r="S31" s="10"/>
      <c r="T31" s="10"/>
      <c r="U31" s="10"/>
      <c r="V31" s="10"/>
      <c r="W31" s="10"/>
    </row>
    <row r="32" spans="1:23" ht="15" hidden="1" customHeight="1">
      <c r="A32" s="583"/>
      <c r="B32" s="447" t="str">
        <f>IF(C9&lt;&gt;"",IF(H4=4,2&amp;C7-2,IF(H4=6,3&amp;C7-3,IF(H4=8,4&amp;C7-4,""))),"")</f>
        <v/>
      </c>
      <c r="C32" s="447"/>
      <c r="D32" s="447"/>
      <c r="E32" s="447"/>
      <c r="F32" s="447"/>
      <c r="G32" s="447"/>
      <c r="H32" s="447"/>
      <c r="I32" s="448"/>
      <c r="J32" s="10"/>
      <c r="K32" s="10"/>
      <c r="L32" s="10"/>
      <c r="M32" s="10"/>
      <c r="N32" s="10"/>
      <c r="O32" s="10"/>
      <c r="P32" s="10"/>
      <c r="Q32" s="10"/>
      <c r="R32" s="10"/>
      <c r="S32" s="10"/>
      <c r="T32" s="10"/>
      <c r="U32" s="10"/>
      <c r="V32" s="10"/>
      <c r="W32" s="10"/>
    </row>
    <row r="33" spans="1:23" ht="15" hidden="1" customHeight="1">
      <c r="A33" s="583"/>
      <c r="B33" s="447"/>
      <c r="C33" s="447"/>
      <c r="D33" s="447"/>
      <c r="E33" s="447"/>
      <c r="F33" s="447"/>
      <c r="G33" s="447"/>
      <c r="H33" s="447"/>
      <c r="I33" s="448"/>
      <c r="J33" s="10"/>
      <c r="K33" s="10"/>
      <c r="L33" s="10"/>
      <c r="M33" s="10"/>
      <c r="N33" s="10"/>
      <c r="O33" s="10"/>
      <c r="P33" s="10"/>
      <c r="Q33" s="10"/>
      <c r="R33" s="10"/>
      <c r="S33" s="10"/>
      <c r="T33" s="10"/>
      <c r="U33" s="10"/>
      <c r="V33" s="10"/>
      <c r="W33" s="10"/>
    </row>
    <row r="34" spans="1:23">
      <c r="A34" s="583"/>
      <c r="B34" s="586" t="str">
        <f>IF(C18="!","              Rappel, renseignez un nombre entier ; compris entre 0 &amp; 99 999                                                                                                - et -       qui doit être composé de 5 chiffres différents (ex 54 321) !",IF(OR(AND(H4=4,C11&lt;&gt;""),AND(H4=6,C13&lt;&gt;""),AND(H4=8,C15&lt;&gt;"")),"Pour recommencer, cliquez sur mon chapeau.",""))</f>
        <v/>
      </c>
      <c r="C34" s="586"/>
      <c r="D34" s="586"/>
      <c r="E34" s="586"/>
      <c r="F34" s="586"/>
      <c r="G34" s="586"/>
      <c r="H34" s="586"/>
      <c r="I34" s="586"/>
      <c r="J34" s="10"/>
      <c r="K34" s="10"/>
      <c r="L34" s="10"/>
      <c r="M34" s="10"/>
      <c r="N34" s="10"/>
      <c r="O34" s="10"/>
      <c r="P34" s="10"/>
      <c r="Q34" s="10"/>
      <c r="R34" s="10"/>
      <c r="S34" s="10"/>
      <c r="T34" s="10"/>
      <c r="U34" s="10"/>
      <c r="V34" s="10"/>
      <c r="W34" s="10"/>
    </row>
    <row r="35" spans="1:23">
      <c r="A35" s="583"/>
      <c r="B35" s="586"/>
      <c r="C35" s="586"/>
      <c r="D35" s="586"/>
      <c r="E35" s="586"/>
      <c r="F35" s="586"/>
      <c r="G35" s="586"/>
      <c r="H35" s="586"/>
      <c r="I35" s="586"/>
      <c r="J35" s="10"/>
      <c r="K35" s="10"/>
      <c r="L35" s="10"/>
      <c r="M35" s="10"/>
      <c r="N35" s="10"/>
      <c r="O35" s="10"/>
      <c r="P35" s="10"/>
      <c r="Q35" s="10"/>
      <c r="R35" s="10"/>
      <c r="S35" s="10"/>
      <c r="T35" s="10"/>
      <c r="U35" s="10"/>
      <c r="V35" s="10"/>
      <c r="W35" s="10"/>
    </row>
    <row r="36" spans="1:23" hidden="1"/>
    <row r="37" spans="1:23" hidden="1"/>
    <row r="38" spans="1:23" hidden="1"/>
    <row r="39" spans="1:23" hidden="1"/>
  </sheetData>
  <sheetProtection password="8B0A" sheet="1" objects="1" scenarios="1"/>
  <mergeCells count="24">
    <mergeCell ref="D11:I11"/>
    <mergeCell ref="D12:I12"/>
    <mergeCell ref="L7:P7"/>
    <mergeCell ref="B2:I2"/>
    <mergeCell ref="I3:I4"/>
    <mergeCell ref="B5:I5"/>
    <mergeCell ref="B6:I6"/>
    <mergeCell ref="D7:I7"/>
    <mergeCell ref="D13:I13"/>
    <mergeCell ref="D14:I14"/>
    <mergeCell ref="D15:I15"/>
    <mergeCell ref="D16:I16"/>
    <mergeCell ref="A1:I1"/>
    <mergeCell ref="B3:G3"/>
    <mergeCell ref="B4:G4"/>
    <mergeCell ref="A2:A35"/>
    <mergeCell ref="B17:I17"/>
    <mergeCell ref="D18:I19"/>
    <mergeCell ref="B34:I35"/>
    <mergeCell ref="B18:B19"/>
    <mergeCell ref="C18:C19"/>
    <mergeCell ref="B8:I8"/>
    <mergeCell ref="D9:I9"/>
    <mergeCell ref="D10:I10"/>
  </mergeCells>
  <conditionalFormatting sqref="B5">
    <cfRule type="expression" dxfId="485" priority="5">
      <formula>$R$4="!"</formula>
    </cfRule>
    <cfRule type="expression" dxfId="484" priority="7">
      <formula>OR($B$5="Merci de renseigner 4, 6 ou 8.",$B$5="Merci de renseigner un nombre entier compris entre 0 et 99 999.")</formula>
    </cfRule>
  </conditionalFormatting>
  <conditionalFormatting sqref="E6:H6 B5:B34 C6:D7 C9:D16 D20:H33 D18 C18:C33">
    <cfRule type="expression" dxfId="483" priority="6">
      <formula>OR($R$4="!",$H$4="",$B$5="Merci de renseigner 4, 6 ou 8.",$B$5="Merci de renseigner un nombre entier compris entre 0 et 99 999.")</formula>
    </cfRule>
  </conditionalFormatting>
  <conditionalFormatting sqref="H3">
    <cfRule type="expression" dxfId="482" priority="2">
      <formula>$R$4="!"</formula>
    </cfRule>
    <cfRule type="expression" dxfId="481" priority="4">
      <formula>$H$3=""</formula>
    </cfRule>
  </conditionalFormatting>
  <conditionalFormatting sqref="H4">
    <cfRule type="expression" dxfId="480" priority="8">
      <formula>$B$5="Merci de renseigner 4, 6 ou 8."</formula>
    </cfRule>
    <cfRule type="expression" dxfId="479" priority="9">
      <formula>AND($H$4="",H3&lt;&gt;"",R4&lt;&gt;"!")</formula>
    </cfRule>
  </conditionalFormatting>
  <conditionalFormatting sqref="B3:G3">
    <cfRule type="expression" dxfId="478" priority="11">
      <formula>$B$3="Merci de renseigner un nombre à 5 chiffres différents (ex 54 321) !"</formula>
    </cfRule>
  </conditionalFormatting>
  <conditionalFormatting sqref="D9">
    <cfRule type="expression" dxfId="477" priority="12">
      <formula>$R$10="!"</formula>
    </cfRule>
  </conditionalFormatting>
  <conditionalFormatting sqref="D11">
    <cfRule type="expression" dxfId="476" priority="15">
      <formula>$R$12="!"</formula>
    </cfRule>
  </conditionalFormatting>
  <conditionalFormatting sqref="D13">
    <cfRule type="expression" dxfId="475" priority="20">
      <formula>$R$14="!"</formula>
    </cfRule>
  </conditionalFormatting>
  <conditionalFormatting sqref="D15">
    <cfRule type="expression" dxfId="474" priority="21">
      <formula>$R$16="!"</formula>
    </cfRule>
  </conditionalFormatting>
  <conditionalFormatting sqref="C18:C19 D18 B34">
    <cfRule type="expression" dxfId="473" priority="10">
      <formula>$C$18="!"</formula>
    </cfRule>
  </conditionalFormatting>
  <conditionalFormatting sqref="B3:G4">
    <cfRule type="expression" dxfId="472" priority="3">
      <formula>H3=""</formula>
    </cfRule>
  </conditionalFormatting>
  <conditionalFormatting sqref="B34:I35">
    <cfRule type="expression" dxfId="471" priority="1">
      <formula>$B$34="Pour recommencer, cliquez sur mon chapeau."</formula>
    </cfRule>
  </conditionalFormatting>
  <dataValidations count="1">
    <dataValidation type="list" allowBlank="1" showInputMessage="1" showErrorMessage="1" sqref="H4">
      <formula1>"4,6,8"</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sheetPr codeName="Feuil4">
    <tabColor theme="5" tint="0.59999389629810485"/>
  </sheetPr>
  <dimension ref="A1:R218"/>
  <sheetViews>
    <sheetView showGridLines="0" showRowColHeaders="0" workbookViewId="0">
      <pane xSplit="16384" ySplit="3" topLeftCell="XFD4" activePane="bottomRight" state="frozen"/>
      <selection pane="topRight" activeCell="XFD1" sqref="XFD1"/>
      <selection pane="bottomLeft" activeCell="A4" sqref="A4"/>
      <selection pane="bottomRight" sqref="A1:R1"/>
    </sheetView>
  </sheetViews>
  <sheetFormatPr baseColWidth="10" defaultColWidth="0" defaultRowHeight="15" zeroHeight="1"/>
  <cols>
    <col min="1" max="1" width="11.42578125" style="452" customWidth="1"/>
    <col min="2" max="3" width="12.28515625" style="429" customWidth="1"/>
    <col min="4" max="4" width="17" style="429" customWidth="1"/>
    <col min="5" max="5" width="64.28515625" style="429" customWidth="1"/>
    <col min="6" max="6" width="16.85546875" style="429" customWidth="1"/>
    <col min="7" max="7" width="11.42578125" style="429" customWidth="1"/>
    <col min="8" max="8" width="12.42578125" style="429" customWidth="1"/>
    <col min="9" max="9" width="5.7109375" style="429" customWidth="1"/>
    <col min="10" max="10" width="4.5703125" style="429" customWidth="1"/>
    <col min="11" max="11" width="4" style="429" customWidth="1"/>
    <col min="12" max="12" width="3.85546875" style="429" customWidth="1"/>
    <col min="13" max="13" width="4.42578125" style="429" customWidth="1"/>
    <col min="14" max="14" width="3.42578125" style="429" customWidth="1"/>
    <col min="15" max="15" width="3.85546875" style="429" customWidth="1"/>
    <col min="16" max="16" width="4.42578125" style="429" customWidth="1"/>
    <col min="17" max="17" width="4.5703125" style="429" customWidth="1"/>
    <col min="18" max="18" width="5.5703125" style="429" customWidth="1"/>
    <col min="19" max="16384" width="7.5703125" style="429" hidden="1"/>
  </cols>
  <sheetData>
    <row r="1" spans="1:18" ht="42" customHeight="1" thickBot="1">
      <c r="A1" s="663" t="str">
        <f>IF(SUM(IF(B10="",0,1)+IF(F16="",0,1)+IF(F19="",0,1)+IF(F26="",0,1)+IF(F32="",0,1)+IF(F36="",0,1)+IF(F40="",0,1)+IF(F44="",0,1)+IF(F48="",0,1)+IF(F54="",0,1)+IF(AND(F61="",C62=" L' 'Heure' est en effet la bonne réponse !"),1,IF(F61="",0,1))+IF(F68="",0,1)+IF(F71="",0,1)+IF(F74="",0,1)+IF(F77="",0,1)+IF(F81="",0,1)+IF(F88="",0,1)+IF(AND(F92="",B96="En effet, il faut lire ce que tu vois… pour '1' &gt; un '1' (soit 11) donc pour 1211 &gt; un '1', un '2' et deux '1'  (soit 111221) …"),1,IF(F92="",0,1))+IF(I85="",0,1)+IF(F100="",0,1)+IF(F103="",0,1)+IF(F107="",0,1)+IF(F110="",0,1)+IF(F114="",0,1)+IF(F117="",0,1)+IF(F122="",0,1)+IF(F129="",0,1)+IF(F133="",0,1)+IF(I143="",0,1)+IF(F155="",0,1)+IF(F159="",0,1)+IF(F163="",0,1)+IF(AND(F168="",C169="Bravo ! Elles sont fère et sœur !!"),1,IF(F168="",0,1))+IF(F172="",0,1)+IF(F176="",0,1)+IF(F182="",0,1)+IF(F188="",0,1)+IF(F194="",0,1)+IF(F201="",0,1)+IF(F210="",0,1)+IF(F217="",0,1))=0,"            Questions de Cultures Générales, de Logiques et d'Enigmes.",SUM(IF(B10="",0,1)+IF(F16="",0,1)+IF(F19="",0,1)+IF(F26="",0,1)+IF(F32="",0,1)+IF(F36="",0,1)+IF(F40="",0,1)+IF(F44="",0,1)+IF(F48="",0,1)+IF(F54="",0,1)+IF(AND(F61="",C62=" L' 'Heure' est en effet la bonne réponse !"),1,IF(F61="",0,1))+IF(F68="",0,1)+IF(F71="",0,1)+IF(F74="",0,1)+IF(F77="",0,1)+IF(F81="",0,1)+IF(F88="",0,1)+IF(AND(F92="",B96="En effet, il faut lire ce que tu vois… pour '1' &gt; un '1' (soit 11) donc pour 1211 &gt; un '1', un '2' et deux '1'  (soit 111221) …"),1,IF(F92="",0,1))+IF(I85="",0,1)+IF(F100="",0,1)+IF(F103="",0,1)+IF(F107="",0,1)+IF(F110="",0,1)+IF(F114="",0,1)+IF(F117="",0,1)+IF(F122="",0,1)+IF(F129="",0,1)+IF(F133="",0,1)+IF(I143="",0,1)+IF(F155="",0,1)+IF(F159="",0,1)+IF(F163="",0,1)+IF(AND(F168="",C169="Bravo ! Elles sont fère et sœur !!"),1,IF(F168="",0,1))+IF(F172="",0,1)+IF(F176="",0,1)+IF(F182="",0,1)+IF(F188="",0,1)+IF(F194="",0,1)+IF(F201="",0,1)+IF(F210="",0,1)+IF(F217="",0,1)))</f>
        <v xml:space="preserve">            Questions de Cultures Générales, de Logiques et d'Enigmes.</v>
      </c>
      <c r="B1" s="663"/>
      <c r="C1" s="663"/>
      <c r="D1" s="663"/>
      <c r="E1" s="663"/>
      <c r="F1" s="663"/>
      <c r="G1" s="663"/>
      <c r="H1" s="663"/>
      <c r="I1" s="663"/>
      <c r="J1" s="663"/>
      <c r="K1" s="663"/>
      <c r="L1" s="663"/>
      <c r="M1" s="663"/>
      <c r="N1" s="663"/>
      <c r="O1" s="663"/>
      <c r="P1" s="663"/>
      <c r="Q1" s="663"/>
      <c r="R1" s="663"/>
    </row>
    <row r="2" spans="1:18" ht="15" customHeight="1">
      <c r="A2" s="651" t="str">
        <f>IF(AND(PageBonus!B3="",PageBonus!A3="",PageBonus!C3=""),"~~ 3 Bonus à débloquer sur cette page ~~",IF(AND(PageBonus!B3&lt;&gt;"",PageBonus!A3&lt;&gt;"",PageBonus!C3&lt;&gt;""),"-- Tous les bonus ont été trouvés, Félicitations ! --",3-IF(PageBonus!B3&lt;&gt;"",1,0)-IF(PageBonus!C3&lt;&gt;"",1,0)-IF(PageBonus!A3&lt;&gt;"",1,0)&amp;" Bonus restant à trouver..!"))</f>
        <v>~~ 3 Bonus à débloquer sur cette page ~~</v>
      </c>
      <c r="B2" s="652"/>
      <c r="C2" s="652"/>
      <c r="D2" s="652"/>
      <c r="E2" s="652"/>
      <c r="F2" s="652"/>
      <c r="G2" s="652"/>
      <c r="H2" s="652"/>
      <c r="I2" s="652"/>
      <c r="J2" s="652"/>
      <c r="K2" s="652"/>
      <c r="L2" s="652"/>
      <c r="M2" s="652"/>
      <c r="N2" s="652"/>
      <c r="O2" s="652"/>
      <c r="P2" s="652"/>
      <c r="Q2" s="652"/>
      <c r="R2" s="653"/>
    </row>
    <row r="3" spans="1:18" ht="15" customHeight="1">
      <c r="A3" s="654"/>
      <c r="B3" s="655"/>
      <c r="C3" s="655"/>
      <c r="D3" s="655"/>
      <c r="E3" s="655"/>
      <c r="F3" s="655"/>
      <c r="G3" s="655"/>
      <c r="H3" s="655"/>
      <c r="I3" s="655"/>
      <c r="J3" s="655"/>
      <c r="K3" s="655"/>
      <c r="L3" s="655"/>
      <c r="M3" s="655"/>
      <c r="N3" s="655"/>
      <c r="O3" s="655"/>
      <c r="P3" s="655"/>
      <c r="Q3" s="655"/>
      <c r="R3" s="656"/>
    </row>
    <row r="4" spans="1:18" ht="15" customHeight="1">
      <c r="A4" s="592" t="s">
        <v>4</v>
      </c>
      <c r="B4" s="593" t="s">
        <v>0</v>
      </c>
      <c r="C4" s="593"/>
      <c r="D4" s="593"/>
      <c r="E4" s="593"/>
      <c r="F4" s="593"/>
      <c r="G4" s="593"/>
      <c r="H4" s="593"/>
      <c r="I4" s="593"/>
      <c r="J4" s="593"/>
      <c r="K4" s="593"/>
      <c r="L4" s="593"/>
      <c r="M4" s="593"/>
      <c r="N4" s="593"/>
      <c r="O4" s="593"/>
      <c r="P4" s="593"/>
      <c r="Q4" s="593"/>
      <c r="R4" s="594"/>
    </row>
    <row r="5" spans="1:18">
      <c r="A5" s="592"/>
      <c r="B5" s="593" t="s">
        <v>485</v>
      </c>
      <c r="C5" s="593"/>
      <c r="D5" s="593"/>
      <c r="E5" s="593"/>
      <c r="F5" s="593"/>
      <c r="G5" s="593"/>
      <c r="H5" s="593"/>
      <c r="I5" s="593"/>
      <c r="J5" s="593"/>
      <c r="K5" s="593"/>
      <c r="L5" s="593"/>
      <c r="M5" s="593"/>
      <c r="N5" s="593"/>
      <c r="O5" s="593"/>
      <c r="P5" s="593"/>
      <c r="Q5" s="593"/>
      <c r="R5" s="594"/>
    </row>
    <row r="6" spans="1:18">
      <c r="A6" s="592"/>
      <c r="B6" s="593" t="s">
        <v>1</v>
      </c>
      <c r="C6" s="593"/>
      <c r="D6" s="593"/>
      <c r="E6" s="593"/>
      <c r="F6" s="593"/>
      <c r="G6" s="593"/>
      <c r="H6" s="593"/>
      <c r="I6" s="593"/>
      <c r="J6" s="593"/>
      <c r="K6" s="593"/>
      <c r="L6" s="593"/>
      <c r="M6" s="593"/>
      <c r="N6" s="593"/>
      <c r="O6" s="593"/>
      <c r="P6" s="593"/>
      <c r="Q6" s="593"/>
      <c r="R6" s="594"/>
    </row>
    <row r="7" spans="1:18">
      <c r="A7" s="592"/>
      <c r="B7" s="595" t="s">
        <v>486</v>
      </c>
      <c r="C7" s="595"/>
      <c r="D7" s="595"/>
      <c r="E7" s="595"/>
      <c r="F7" s="595"/>
      <c r="G7" s="595"/>
      <c r="H7" s="595"/>
      <c r="I7" s="595"/>
      <c r="J7" s="595"/>
      <c r="K7" s="595"/>
      <c r="L7" s="595"/>
      <c r="M7" s="595"/>
      <c r="N7" s="595"/>
      <c r="O7" s="595"/>
      <c r="P7" s="595"/>
      <c r="Q7" s="595"/>
      <c r="R7" s="633"/>
    </row>
    <row r="8" spans="1:18" ht="15" customHeight="1">
      <c r="A8" s="592"/>
      <c r="B8" s="600"/>
      <c r="C8" s="600"/>
      <c r="D8" s="600"/>
      <c r="E8" s="600"/>
      <c r="F8" s="600"/>
      <c r="G8" s="600"/>
      <c r="H8" s="600"/>
      <c r="I8" s="600"/>
      <c r="J8" s="600"/>
      <c r="K8" s="600"/>
      <c r="L8" s="600"/>
      <c r="M8" s="600"/>
      <c r="N8" s="600"/>
      <c r="O8" s="600"/>
      <c r="P8" s="600"/>
      <c r="Q8" s="600"/>
      <c r="R8" s="601"/>
    </row>
    <row r="9" spans="1:18">
      <c r="A9" s="592"/>
      <c r="B9" s="657" t="s">
        <v>484</v>
      </c>
      <c r="C9" s="657"/>
      <c r="D9" s="657"/>
      <c r="E9" s="657"/>
      <c r="F9" s="657"/>
      <c r="G9" s="657"/>
      <c r="H9" s="657"/>
      <c r="I9" s="657"/>
      <c r="J9" s="657"/>
      <c r="K9" s="657"/>
      <c r="L9" s="657"/>
      <c r="M9" s="657"/>
      <c r="N9" s="657"/>
      <c r="O9" s="657"/>
      <c r="P9" s="657"/>
      <c r="Q9" s="657"/>
      <c r="R9" s="658"/>
    </row>
    <row r="10" spans="1:18">
      <c r="A10" s="182" t="s">
        <v>2</v>
      </c>
      <c r="B10" s="1"/>
      <c r="C10" s="659" t="str">
        <f>IF(B10="","",IF(OR(B10="grand-père",B10="grand père",B10="père",B10="fils",B10="petit-fils",B10="petit fils"),"Bravo, c'est exact!","FAUX, essayes encore!"))</f>
        <v/>
      </c>
      <c r="D10" s="648"/>
      <c r="E10" s="648"/>
      <c r="F10" s="648"/>
      <c r="G10" s="648"/>
      <c r="H10" s="648"/>
      <c r="I10" s="648"/>
      <c r="J10" s="648"/>
      <c r="K10" s="648"/>
      <c r="L10" s="648"/>
      <c r="M10" s="648"/>
      <c r="N10" s="648"/>
      <c r="O10" s="648"/>
      <c r="P10" s="648"/>
      <c r="Q10" s="648"/>
      <c r="R10" s="649"/>
    </row>
    <row r="11" spans="1:18">
      <c r="A11" s="182" t="str">
        <f>IF(C10="","",IF(C10="Bravo, c'est exact!","et le",""))</f>
        <v/>
      </c>
      <c r="B11" s="16"/>
      <c r="C11" s="648" t="str">
        <f>IF(B11="","",IF(OR(B11="grand-père",B11="grand père",B11="père",B11="fils",B11="petit-fils",B11="petit fils"),"Bravo, c'est exact!","FAUX, essayes encore!"))</f>
        <v/>
      </c>
      <c r="D11" s="648"/>
      <c r="E11" s="648"/>
      <c r="F11" s="648"/>
      <c r="G11" s="648"/>
      <c r="H11" s="648"/>
      <c r="I11" s="648"/>
      <c r="J11" s="648"/>
      <c r="K11" s="648"/>
      <c r="L11" s="648"/>
      <c r="M11" s="648"/>
      <c r="N11" s="648"/>
      <c r="O11" s="648"/>
      <c r="P11" s="648"/>
      <c r="Q11" s="648"/>
      <c r="R11" s="649"/>
    </row>
    <row r="12" spans="1:18">
      <c r="A12" s="182" t="str">
        <f>IF(C11="","",IF(C11="Bravo, c'est exact!","et le",""))</f>
        <v/>
      </c>
      <c r="B12" s="16"/>
      <c r="C12" s="648" t="str">
        <f>IF(B12="","",IF(OR(B12="grand-père",B12="grand père",B12="père",B12="fils",B12="petit-fils",B12="petit fils"),"Bravo, c'est exact!","FAUX, essayes encore!"))</f>
        <v/>
      </c>
      <c r="D12" s="648"/>
      <c r="E12" s="648"/>
      <c r="F12" s="648"/>
      <c r="G12" s="648"/>
      <c r="H12" s="648"/>
      <c r="I12" s="648"/>
      <c r="J12" s="648"/>
      <c r="K12" s="648"/>
      <c r="L12" s="648"/>
      <c r="M12" s="648"/>
      <c r="N12" s="648"/>
      <c r="O12" s="648"/>
      <c r="P12" s="648"/>
      <c r="Q12" s="648"/>
      <c r="R12" s="649"/>
    </row>
    <row r="13" spans="1:18">
      <c r="A13" s="607"/>
      <c r="B13" s="608"/>
      <c r="C13" s="608"/>
      <c r="D13" s="608"/>
      <c r="E13" s="608"/>
      <c r="F13" s="608"/>
      <c r="G13" s="608"/>
      <c r="H13" s="608"/>
      <c r="I13" s="608"/>
      <c r="J13" s="608"/>
      <c r="K13" s="608"/>
      <c r="L13" s="608"/>
      <c r="M13" s="608"/>
      <c r="N13" s="608"/>
      <c r="O13" s="608"/>
      <c r="P13" s="608"/>
      <c r="Q13" s="608"/>
      <c r="R13" s="609"/>
    </row>
    <row r="14" spans="1:18">
      <c r="A14" s="661">
        <f>IF(OR(B10="fils",B10="petit fils",B10="petit-fils"),1,0)+IF(OR(B11="fils",B11="petit fils",B11="petit-fils"),1,0)+IF(OR(B12="fils",B12="petit fils",B12="petit-fils"),1,0)</f>
        <v>0</v>
      </c>
      <c r="B14" s="662"/>
      <c r="C14" s="610" t="str">
        <f>IF(OR(B10="",B11="",B12=""),"",IF(OR(B10=B11,B10=B12,B11=B12,A14=2),"Pffff ! Tu ne crois quand même pas qu'en mettant deux fois la même personne cela va fonctionner et te donner la réponse ?!",""))&amp;IF(B12="","",IF(OR(AND(OR(B10="grand père",B10="grand-père"),B11="père",OR(B12="fils",B12="petit-fils")),AND(OR(B10="grand père",B10="grand-père"),OR(B11="fils",B11="petit-fils"),B12="père"),AND(B10="père",OR(B11="grand père",B11="grand-père"),OR(B12="fils",B12="petit-fils")),AND(B10="père",OR(B11="fils",B11="petit-fils"),OR(B12="grand père",B12="grand-père")),AND(OR(B10="fils",B10="petit-fils"),B11="père",OR(B12="grand père",B12="grand-père")),AND(OR(B10="fils",B10="petit-fils"),OR(B11="grand père",B11="grand-père"),B12="père"))," Et oui ! Il y a 3 générations : 2 pères et 2 fils dont l'un est fils et père à la fois !!!"," Réfléchis un peu !!"))</f>
        <v/>
      </c>
      <c r="D14" s="610"/>
      <c r="E14" s="610"/>
      <c r="F14" s="610"/>
      <c r="G14" s="610"/>
      <c r="H14" s="610"/>
      <c r="I14" s="610"/>
      <c r="J14" s="610"/>
      <c r="K14" s="610"/>
      <c r="L14" s="610"/>
      <c r="M14" s="610"/>
      <c r="N14" s="610"/>
      <c r="O14" s="610"/>
      <c r="P14" s="610"/>
      <c r="Q14" s="610"/>
      <c r="R14" s="611"/>
    </row>
    <row r="15" spans="1:18">
      <c r="A15" s="607"/>
      <c r="B15" s="608"/>
      <c r="C15" s="608"/>
      <c r="D15" s="608"/>
      <c r="E15" s="608"/>
      <c r="F15" s="608"/>
      <c r="G15" s="608"/>
      <c r="H15" s="608"/>
      <c r="I15" s="608"/>
      <c r="J15" s="608"/>
      <c r="K15" s="608"/>
      <c r="L15" s="608"/>
      <c r="M15" s="608"/>
      <c r="N15" s="608"/>
      <c r="O15" s="608"/>
      <c r="P15" s="608"/>
      <c r="Q15" s="608"/>
      <c r="R15" s="609"/>
    </row>
    <row r="16" spans="1:18" s="104" customFormat="1">
      <c r="A16" s="183" t="s">
        <v>5</v>
      </c>
      <c r="B16" s="595" t="s">
        <v>3</v>
      </c>
      <c r="C16" s="595"/>
      <c r="D16" s="595"/>
      <c r="E16" s="595"/>
      <c r="F16" s="20"/>
      <c r="G16" s="612"/>
      <c r="H16" s="612"/>
      <c r="I16" s="612"/>
      <c r="J16" s="612"/>
      <c r="K16" s="612"/>
      <c r="L16" s="612"/>
      <c r="M16" s="612"/>
      <c r="N16" s="612"/>
      <c r="O16" s="612"/>
      <c r="P16" s="612"/>
      <c r="Q16" s="612"/>
      <c r="R16" s="612"/>
    </row>
    <row r="17" spans="1:18">
      <c r="A17" s="607"/>
      <c r="B17" s="608"/>
      <c r="C17" s="610" t="str">
        <f>IF(F16="","",IF(OR(F16="orange",F16="oranges"),"Bravo c'est tout à fait cela !!",IF(OR(F16="noire",F16="noires"),"Tu crois tout de même pas que je t'aurais mis une question aussi facile !!","Non, continues de creuser !!")))</f>
        <v/>
      </c>
      <c r="D17" s="610"/>
      <c r="E17" s="610"/>
      <c r="F17" s="610"/>
      <c r="G17" s="610"/>
      <c r="H17" s="610"/>
      <c r="I17" s="610"/>
      <c r="J17" s="610"/>
      <c r="K17" s="610"/>
      <c r="L17" s="610"/>
      <c r="M17" s="610"/>
      <c r="N17" s="610"/>
      <c r="O17" s="610"/>
      <c r="P17" s="610"/>
      <c r="Q17" s="610"/>
      <c r="R17" s="611"/>
    </row>
    <row r="18" spans="1:18">
      <c r="A18" s="607"/>
      <c r="B18" s="608"/>
      <c r="C18" s="608"/>
      <c r="D18" s="608"/>
      <c r="E18" s="608"/>
      <c r="F18" s="608"/>
      <c r="G18" s="608"/>
      <c r="H18" s="608"/>
      <c r="I18" s="608"/>
      <c r="J18" s="608"/>
      <c r="K18" s="608"/>
      <c r="L18" s="608"/>
      <c r="M18" s="608"/>
      <c r="N18" s="608"/>
      <c r="O18" s="608"/>
      <c r="P18" s="608"/>
      <c r="Q18" s="608"/>
      <c r="R18" s="609"/>
    </row>
    <row r="19" spans="1:18" s="449" customFormat="1">
      <c r="A19" s="183" t="s">
        <v>6</v>
      </c>
      <c r="B19" s="595" t="s">
        <v>205</v>
      </c>
      <c r="C19" s="595"/>
      <c r="D19" s="595"/>
      <c r="E19" s="595"/>
      <c r="F19" s="20"/>
      <c r="G19" s="618" t="s">
        <v>38</v>
      </c>
      <c r="H19" s="618"/>
      <c r="I19" s="618"/>
      <c r="J19" s="618"/>
      <c r="K19" s="618"/>
      <c r="L19" s="618"/>
      <c r="M19" s="618"/>
      <c r="N19" s="618"/>
      <c r="O19" s="618"/>
      <c r="P19" s="618"/>
      <c r="Q19" s="618"/>
      <c r="R19" s="618"/>
    </row>
    <row r="20" spans="1:18">
      <c r="A20" s="607"/>
      <c r="B20" s="608"/>
      <c r="C20" s="629" t="str">
        <f>IF(F19="","",IF(OR(F19="Équateur",F19="Equateur"),"Félicitations ! c'est juste !!",IF(F19="Panama","Tu crois tout de même pas que je t'aurais mis une question aussi facile !!","Non, continues de creuser !!")))</f>
        <v/>
      </c>
      <c r="D20" s="629"/>
      <c r="E20" s="629"/>
      <c r="F20" s="629"/>
      <c r="G20" s="629"/>
      <c r="H20" s="629"/>
      <c r="I20" s="629"/>
      <c r="J20" s="629"/>
      <c r="K20" s="629"/>
      <c r="L20" s="629"/>
      <c r="M20" s="629"/>
      <c r="N20" s="629"/>
      <c r="O20" s="629"/>
      <c r="P20" s="629"/>
      <c r="Q20" s="629"/>
      <c r="R20" s="630"/>
    </row>
    <row r="21" spans="1:18">
      <c r="A21" s="607"/>
      <c r="B21" s="608"/>
      <c r="C21" s="608"/>
      <c r="D21" s="608"/>
      <c r="E21" s="608"/>
      <c r="F21" s="608"/>
      <c r="G21" s="608"/>
      <c r="H21" s="608"/>
      <c r="I21" s="608"/>
      <c r="J21" s="608"/>
      <c r="K21" s="608"/>
      <c r="L21" s="608"/>
      <c r="M21" s="608"/>
      <c r="N21" s="608"/>
      <c r="O21" s="608"/>
      <c r="P21" s="608"/>
      <c r="Q21" s="608"/>
      <c r="R21" s="609"/>
    </row>
    <row r="22" spans="1:18">
      <c r="A22" s="592" t="s">
        <v>10</v>
      </c>
      <c r="B22" s="593" t="s">
        <v>7</v>
      </c>
      <c r="C22" s="593"/>
      <c r="D22" s="593"/>
      <c r="E22" s="593"/>
      <c r="F22" s="593"/>
      <c r="G22" s="593"/>
      <c r="H22" s="593"/>
      <c r="I22" s="593"/>
      <c r="J22" s="593"/>
      <c r="K22" s="593"/>
      <c r="L22" s="593"/>
      <c r="M22" s="593"/>
      <c r="N22" s="593"/>
      <c r="O22" s="593"/>
      <c r="P22" s="593"/>
      <c r="Q22" s="593"/>
      <c r="R22" s="594"/>
    </row>
    <row r="23" spans="1:18">
      <c r="A23" s="592"/>
      <c r="B23" s="593" t="s">
        <v>8</v>
      </c>
      <c r="C23" s="593"/>
      <c r="D23" s="593"/>
      <c r="E23" s="593"/>
      <c r="F23" s="593"/>
      <c r="G23" s="593"/>
      <c r="H23" s="593"/>
      <c r="I23" s="593"/>
      <c r="J23" s="593"/>
      <c r="K23" s="593"/>
      <c r="L23" s="593"/>
      <c r="M23" s="593"/>
      <c r="N23" s="593"/>
      <c r="O23" s="593"/>
      <c r="P23" s="593"/>
      <c r="Q23" s="593"/>
      <c r="R23" s="594"/>
    </row>
    <row r="24" spans="1:18">
      <c r="A24" s="592"/>
      <c r="B24" s="595" t="s">
        <v>9</v>
      </c>
      <c r="C24" s="595"/>
      <c r="D24" s="595"/>
      <c r="E24" s="595"/>
      <c r="F24" s="595"/>
      <c r="G24" s="595"/>
      <c r="H24" s="595"/>
      <c r="I24" s="595"/>
      <c r="J24" s="595"/>
      <c r="K24" s="595"/>
      <c r="L24" s="595"/>
      <c r="M24" s="595"/>
      <c r="N24" s="595"/>
      <c r="O24" s="595"/>
      <c r="P24" s="595"/>
      <c r="Q24" s="595"/>
      <c r="R24" s="633"/>
    </row>
    <row r="25" spans="1:18">
      <c r="A25" s="592"/>
      <c r="B25" s="595"/>
      <c r="C25" s="595"/>
      <c r="D25" s="595"/>
      <c r="E25" s="595"/>
      <c r="F25" s="595"/>
      <c r="G25" s="595"/>
      <c r="H25" s="595"/>
      <c r="I25" s="595"/>
      <c r="J25" s="595"/>
      <c r="K25" s="595"/>
      <c r="L25" s="595"/>
      <c r="M25" s="595"/>
      <c r="N25" s="595"/>
      <c r="O25" s="595"/>
      <c r="P25" s="595"/>
      <c r="Q25" s="595"/>
      <c r="R25" s="633"/>
    </row>
    <row r="26" spans="1:18">
      <c r="A26" s="592"/>
      <c r="B26" s="593" t="s">
        <v>46</v>
      </c>
      <c r="C26" s="593"/>
      <c r="D26" s="593"/>
      <c r="E26" s="593"/>
      <c r="F26" s="1"/>
      <c r="G26" s="650"/>
      <c r="H26" s="612"/>
      <c r="I26" s="612"/>
      <c r="J26" s="612"/>
      <c r="K26" s="612"/>
      <c r="L26" s="612"/>
      <c r="M26" s="612"/>
      <c r="N26" s="612"/>
      <c r="O26" s="612"/>
      <c r="P26" s="612"/>
      <c r="Q26" s="612"/>
      <c r="R26" s="613"/>
    </row>
    <row r="27" spans="1:18">
      <c r="A27" s="592"/>
      <c r="B27" s="612"/>
      <c r="C27" s="629" t="str">
        <f>IF(F26="","",IF(OR(F26="étoile",F26="etoile"),"Bravo, c'est exact ! Mais le problème n'est pas tout à fait résolu. Quelle sorte d'étoile ?","Faux !! Continues de chercher !"))</f>
        <v/>
      </c>
      <c r="D27" s="629"/>
      <c r="E27" s="629"/>
      <c r="F27" s="629"/>
      <c r="G27" s="629"/>
      <c r="H27" s="629"/>
      <c r="I27" s="629"/>
      <c r="J27" s="629"/>
      <c r="K27" s="629"/>
      <c r="L27" s="629"/>
      <c r="M27" s="629"/>
      <c r="N27" s="629"/>
      <c r="O27" s="629"/>
      <c r="P27" s="629"/>
      <c r="Q27" s="629"/>
      <c r="R27" s="630"/>
    </row>
    <row r="28" spans="1:18">
      <c r="A28" s="592"/>
      <c r="B28" s="612"/>
      <c r="C28" s="629" t="str">
        <f>IF(C27="","",IF(C27="Bravo, c'est exact ! Mais le problème n'est pas tout à fait résolu. Quelle sorte d'étoile ?","Une étoile certes, mais à combien de branches ?",""))</f>
        <v/>
      </c>
      <c r="D28" s="629"/>
      <c r="E28" s="629"/>
      <c r="F28" s="16"/>
      <c r="G28" s="612"/>
      <c r="H28" s="612"/>
      <c r="I28" s="612"/>
      <c r="J28" s="612"/>
      <c r="K28" s="612"/>
      <c r="L28" s="612"/>
      <c r="M28" s="612"/>
      <c r="N28" s="612"/>
      <c r="O28" s="612"/>
      <c r="P28" s="612"/>
      <c r="Q28" s="612"/>
      <c r="R28" s="612"/>
    </row>
    <row r="29" spans="1:18">
      <c r="A29" s="592"/>
      <c r="B29" s="612"/>
      <c r="C29" s="629" t="str">
        <f>IF(F28="","",IF(F28&gt;100,"Il te faut un chiffre",IF(F28&gt;=8,"Tu ne trouves pas que cela fait un peu beaucoup ?!",IF(F28=5,"Bravo, fais-toi un dessin si tu ne l'as pas déjà fait pour vérifier !",IF(OR(F28=7,F28=6),"Un peu moins !",IF(OR(F28=4,F28=3,F28=2,F28=1),"Un peu plus !",IF(F28=0,"Réfléchis, une étoile à zéro branche !! Pff !!","")))))))</f>
        <v/>
      </c>
      <c r="D29" s="629"/>
      <c r="E29" s="629"/>
      <c r="F29" s="629"/>
      <c r="G29" s="629"/>
      <c r="H29" s="629"/>
      <c r="I29" s="629"/>
      <c r="J29" s="629"/>
      <c r="K29" s="629"/>
      <c r="L29" s="629"/>
      <c r="M29" s="629"/>
      <c r="N29" s="629"/>
      <c r="O29" s="629"/>
      <c r="P29" s="629"/>
      <c r="Q29" s="629"/>
      <c r="R29" s="630"/>
    </row>
    <row r="30" spans="1:18">
      <c r="A30" s="607"/>
      <c r="B30" s="608"/>
      <c r="C30" s="608"/>
      <c r="D30" s="608"/>
      <c r="E30" s="608"/>
      <c r="F30" s="608"/>
      <c r="G30" s="608"/>
      <c r="H30" s="608"/>
      <c r="I30" s="608"/>
      <c r="J30" s="608"/>
      <c r="K30" s="608"/>
      <c r="L30" s="608"/>
      <c r="M30" s="608"/>
      <c r="N30" s="608"/>
      <c r="O30" s="608"/>
      <c r="P30" s="608"/>
      <c r="Q30" s="608"/>
      <c r="R30" s="609"/>
    </row>
    <row r="31" spans="1:18">
      <c r="A31" s="592" t="s">
        <v>11</v>
      </c>
      <c r="B31" s="593" t="s">
        <v>13</v>
      </c>
      <c r="C31" s="593"/>
      <c r="D31" s="593"/>
      <c r="E31" s="593"/>
      <c r="F31" s="593"/>
      <c r="G31" s="593"/>
      <c r="H31" s="593"/>
      <c r="I31" s="593"/>
      <c r="J31" s="593"/>
      <c r="K31" s="593"/>
      <c r="L31" s="593"/>
      <c r="M31" s="593"/>
      <c r="N31" s="593"/>
      <c r="O31" s="593"/>
      <c r="P31" s="593"/>
      <c r="Q31" s="593"/>
      <c r="R31" s="594"/>
    </row>
    <row r="32" spans="1:18">
      <c r="A32" s="592"/>
      <c r="B32" s="595" t="s">
        <v>12</v>
      </c>
      <c r="C32" s="595"/>
      <c r="D32" s="595"/>
      <c r="E32" s="595"/>
      <c r="F32" s="1"/>
      <c r="G32" s="650"/>
      <c r="H32" s="612"/>
      <c r="I32" s="612"/>
      <c r="J32" s="612"/>
      <c r="K32" s="612"/>
      <c r="L32" s="612"/>
      <c r="M32" s="612"/>
      <c r="N32" s="612"/>
      <c r="O32" s="612"/>
      <c r="P32" s="612"/>
      <c r="Q32" s="612"/>
      <c r="R32" s="613"/>
    </row>
    <row r="33" spans="1:18">
      <c r="A33" s="592"/>
      <c r="B33" s="184"/>
      <c r="C33" s="629" t="str">
        <f>IF(F32="","",IF(F32=0,"Bravo, en effet avec le coup de feu, les 19 autres se sont envolés !",IF(F32=19,"Non ! Allez réfléchis !!","Non c'est pas cela, c'est plus facile que tu ne le crois ! La réponse est dans la question !!")))</f>
        <v/>
      </c>
      <c r="D33" s="629"/>
      <c r="E33" s="629"/>
      <c r="F33" s="629"/>
      <c r="G33" s="629"/>
      <c r="H33" s="629"/>
      <c r="I33" s="629"/>
      <c r="J33" s="629"/>
      <c r="K33" s="629"/>
      <c r="L33" s="629"/>
      <c r="M33" s="629"/>
      <c r="N33" s="629"/>
      <c r="O33" s="629"/>
      <c r="P33" s="629"/>
      <c r="Q33" s="629"/>
      <c r="R33" s="630"/>
    </row>
    <row r="34" spans="1:18">
      <c r="A34" s="607"/>
      <c r="B34" s="608"/>
      <c r="C34" s="608"/>
      <c r="D34" s="608"/>
      <c r="E34" s="608"/>
      <c r="F34" s="608"/>
      <c r="G34" s="608"/>
      <c r="H34" s="608"/>
      <c r="I34" s="608"/>
      <c r="J34" s="608"/>
      <c r="K34" s="608"/>
      <c r="L34" s="608"/>
      <c r="M34" s="608"/>
      <c r="N34" s="608"/>
      <c r="O34" s="608"/>
      <c r="P34" s="608"/>
      <c r="Q34" s="608"/>
      <c r="R34" s="609"/>
    </row>
    <row r="35" spans="1:18">
      <c r="A35" s="592" t="s">
        <v>14</v>
      </c>
      <c r="B35" s="593" t="s">
        <v>37</v>
      </c>
      <c r="C35" s="593"/>
      <c r="D35" s="593"/>
      <c r="E35" s="593"/>
      <c r="F35" s="593"/>
      <c r="G35" s="593"/>
      <c r="H35" s="593"/>
      <c r="I35" s="593"/>
      <c r="J35" s="593"/>
      <c r="K35" s="593"/>
      <c r="L35" s="593"/>
      <c r="M35" s="593"/>
      <c r="N35" s="593"/>
      <c r="O35" s="593"/>
      <c r="P35" s="593"/>
      <c r="Q35" s="593"/>
      <c r="R35" s="594"/>
    </row>
    <row r="36" spans="1:18">
      <c r="A36" s="592"/>
      <c r="B36" s="595" t="s">
        <v>481</v>
      </c>
      <c r="C36" s="595"/>
      <c r="D36" s="595"/>
      <c r="E36" s="622"/>
      <c r="F36" s="1"/>
      <c r="G36" s="618" t="s">
        <v>482</v>
      </c>
      <c r="H36" s="618"/>
      <c r="I36" s="618"/>
      <c r="J36" s="618"/>
      <c r="K36" s="618"/>
      <c r="L36" s="618"/>
      <c r="M36" s="618"/>
      <c r="N36" s="618"/>
      <c r="O36" s="618"/>
      <c r="P36" s="618"/>
      <c r="Q36" s="618"/>
      <c r="R36" s="618"/>
    </row>
    <row r="37" spans="1:18" s="450" customFormat="1">
      <c r="A37" s="592"/>
      <c r="B37" s="184"/>
      <c r="C37" s="639" t="str">
        <f>IF(F36="","",IF(F36="Aucun","Bravo! Si le lac est gelé, c'est que nous sommes en Hiver ; et en Hiver, il n'y a pas de pommes !",IF(OR(F36="champ",F36="lac",F36="lac gelé"),"Non c'est pas cela, c'est plus facile que tu ne le crois ! La réponse est dans l'énnoncé!!","Indice: en un mot ! Relis la question !")))</f>
        <v/>
      </c>
      <c r="D37" s="639"/>
      <c r="E37" s="639"/>
      <c r="F37" s="639"/>
      <c r="G37" s="639"/>
      <c r="H37" s="639"/>
      <c r="I37" s="639"/>
      <c r="J37" s="639"/>
      <c r="K37" s="639"/>
      <c r="L37" s="639"/>
      <c r="M37" s="639"/>
      <c r="N37" s="639"/>
      <c r="O37" s="639"/>
      <c r="P37" s="639"/>
      <c r="Q37" s="639"/>
      <c r="R37" s="639"/>
    </row>
    <row r="38" spans="1:18">
      <c r="A38" s="607"/>
      <c r="B38" s="608"/>
      <c r="C38" s="608"/>
      <c r="D38" s="608"/>
      <c r="E38" s="608"/>
      <c r="F38" s="608"/>
      <c r="G38" s="608"/>
      <c r="H38" s="608"/>
      <c r="I38" s="608"/>
      <c r="J38" s="608"/>
      <c r="K38" s="608"/>
      <c r="L38" s="608"/>
      <c r="M38" s="608"/>
      <c r="N38" s="608"/>
      <c r="O38" s="608"/>
      <c r="P38" s="608"/>
      <c r="Q38" s="608"/>
      <c r="R38" s="609"/>
    </row>
    <row r="39" spans="1:18">
      <c r="A39" s="592" t="s">
        <v>15</v>
      </c>
      <c r="B39" s="593" t="s">
        <v>16</v>
      </c>
      <c r="C39" s="593"/>
      <c r="D39" s="593"/>
      <c r="E39" s="593"/>
      <c r="F39" s="593"/>
      <c r="G39" s="593"/>
      <c r="H39" s="593"/>
      <c r="I39" s="593"/>
      <c r="J39" s="593"/>
      <c r="K39" s="593"/>
      <c r="L39" s="593"/>
      <c r="M39" s="593"/>
      <c r="N39" s="593"/>
      <c r="O39" s="593"/>
      <c r="P39" s="593"/>
      <c r="Q39" s="593"/>
      <c r="R39" s="594"/>
    </row>
    <row r="40" spans="1:18">
      <c r="A40" s="592"/>
      <c r="B40" s="595" t="s">
        <v>87</v>
      </c>
      <c r="C40" s="595"/>
      <c r="D40" s="595"/>
      <c r="E40" s="622"/>
      <c r="F40" s="1"/>
      <c r="G40" s="618" t="s">
        <v>49</v>
      </c>
      <c r="H40" s="618"/>
      <c r="I40" s="618"/>
      <c r="J40" s="618"/>
      <c r="K40" s="618"/>
      <c r="L40" s="618"/>
      <c r="M40" s="618"/>
      <c r="N40" s="618"/>
      <c r="O40" s="618"/>
      <c r="P40" s="618"/>
      <c r="Q40" s="618"/>
      <c r="R40" s="618"/>
    </row>
    <row r="41" spans="1:18">
      <c r="A41" s="592"/>
      <c r="B41" s="184"/>
      <c r="C41" s="629" t="str">
        <f>IF(F40="","",IF(F40=1,"Bravo! S'il double de surface chaque nuit, c'est bien au 16ème jour qu'il recouvrira la totalité de l'étang !",IF(F40=15,"Non, réfléchis, c'est plus facile que tu ne le crois ! La réponse est dans la question !!","Allez on réfléchit!")))</f>
        <v/>
      </c>
      <c r="D41" s="629"/>
      <c r="E41" s="629"/>
      <c r="F41" s="629"/>
      <c r="G41" s="629"/>
      <c r="H41" s="629"/>
      <c r="I41" s="629"/>
      <c r="J41" s="629"/>
      <c r="K41" s="629"/>
      <c r="L41" s="629"/>
      <c r="M41" s="629"/>
      <c r="N41" s="629"/>
      <c r="O41" s="629"/>
      <c r="P41" s="629"/>
      <c r="Q41" s="629"/>
      <c r="R41" s="630"/>
    </row>
    <row r="42" spans="1:18">
      <c r="A42" s="607"/>
      <c r="B42" s="608"/>
      <c r="C42" s="608"/>
      <c r="D42" s="608"/>
      <c r="E42" s="608"/>
      <c r="F42" s="608"/>
      <c r="G42" s="608"/>
      <c r="H42" s="608"/>
      <c r="I42" s="608"/>
      <c r="J42" s="608"/>
      <c r="K42" s="608"/>
      <c r="L42" s="608"/>
      <c r="M42" s="608"/>
      <c r="N42" s="608"/>
      <c r="O42" s="608"/>
      <c r="P42" s="608"/>
      <c r="Q42" s="608"/>
      <c r="R42" s="609"/>
    </row>
    <row r="43" spans="1:18">
      <c r="A43" s="592" t="s">
        <v>18</v>
      </c>
      <c r="B43" s="593" t="s">
        <v>19</v>
      </c>
      <c r="C43" s="593"/>
      <c r="D43" s="593"/>
      <c r="E43" s="593"/>
      <c r="F43" s="593"/>
      <c r="G43" s="593"/>
      <c r="H43" s="593"/>
      <c r="I43" s="593"/>
      <c r="J43" s="593"/>
      <c r="K43" s="593"/>
      <c r="L43" s="593"/>
      <c r="M43" s="593"/>
      <c r="N43" s="593"/>
      <c r="O43" s="593"/>
      <c r="P43" s="593"/>
      <c r="Q43" s="593"/>
      <c r="R43" s="594"/>
    </row>
    <row r="44" spans="1:18">
      <c r="A44" s="592"/>
      <c r="B44" s="595" t="s">
        <v>20</v>
      </c>
      <c r="C44" s="595"/>
      <c r="D44" s="595"/>
      <c r="E44" s="595"/>
      <c r="F44" s="2"/>
      <c r="G44" s="618"/>
      <c r="H44" s="618"/>
      <c r="I44" s="618"/>
      <c r="J44" s="618"/>
      <c r="K44" s="618"/>
      <c r="L44" s="618"/>
      <c r="M44" s="618"/>
      <c r="N44" s="618"/>
      <c r="O44" s="618"/>
      <c r="P44" s="618"/>
      <c r="Q44" s="618"/>
      <c r="R44" s="618"/>
    </row>
    <row r="45" spans="1:18">
      <c r="A45" s="592"/>
      <c r="B45" s="184"/>
      <c r="C45" s="629" t="str">
        <f>IF(F44="","",IF(F44=5,"Bravo! En t'en donnant 5, l'écart sera de 10!","Allez on réfléchit!"))</f>
        <v/>
      </c>
      <c r="D45" s="629"/>
      <c r="E45" s="629"/>
      <c r="F45" s="629"/>
      <c r="G45" s="629"/>
      <c r="H45" s="629"/>
      <c r="I45" s="629"/>
      <c r="J45" s="629"/>
      <c r="K45" s="629"/>
      <c r="L45" s="629"/>
      <c r="M45" s="629"/>
      <c r="N45" s="629"/>
      <c r="O45" s="629"/>
      <c r="P45" s="629"/>
      <c r="Q45" s="629"/>
      <c r="R45" s="630"/>
    </row>
    <row r="46" spans="1:18">
      <c r="A46" s="607"/>
      <c r="B46" s="608"/>
      <c r="C46" s="608"/>
      <c r="D46" s="608"/>
      <c r="E46" s="608"/>
      <c r="F46" s="608"/>
      <c r="G46" s="608"/>
      <c r="H46" s="608"/>
      <c r="I46" s="608"/>
      <c r="J46" s="608"/>
      <c r="K46" s="608"/>
      <c r="L46" s="608"/>
      <c r="M46" s="608"/>
      <c r="N46" s="608"/>
      <c r="O46" s="608"/>
      <c r="P46" s="608"/>
      <c r="Q46" s="608"/>
      <c r="R46" s="609"/>
    </row>
    <row r="47" spans="1:18">
      <c r="A47" s="592" t="s">
        <v>21</v>
      </c>
      <c r="B47" s="595" t="s">
        <v>23</v>
      </c>
      <c r="C47" s="595"/>
      <c r="D47" s="595"/>
      <c r="E47" s="595"/>
      <c r="F47" s="595"/>
      <c r="G47" s="595"/>
      <c r="H47" s="595"/>
      <c r="I47" s="595"/>
      <c r="J47" s="595"/>
      <c r="K47" s="595"/>
      <c r="L47" s="595"/>
      <c r="M47" s="595"/>
      <c r="N47" s="595"/>
      <c r="O47" s="595"/>
      <c r="P47" s="595"/>
      <c r="Q47" s="595"/>
      <c r="R47" s="633"/>
    </row>
    <row r="48" spans="1:18">
      <c r="A48" s="592"/>
      <c r="B48" s="640" t="s">
        <v>22</v>
      </c>
      <c r="C48" s="640"/>
      <c r="D48" s="640"/>
      <c r="E48" s="640"/>
      <c r="F48" s="228"/>
      <c r="G48" s="629" t="str">
        <f>IF(AND(F48&lt;&gt;"peur",F48&lt;&gt;""),"Allez… Que signifie le mot 'Phobie' ?","")</f>
        <v/>
      </c>
      <c r="H48" s="629"/>
      <c r="I48" s="629"/>
      <c r="J48" s="629"/>
      <c r="K48" s="629"/>
      <c r="L48" s="629"/>
      <c r="M48" s="629"/>
      <c r="N48" s="629"/>
      <c r="O48" s="629"/>
      <c r="P48" s="629"/>
      <c r="Q48" s="629"/>
      <c r="R48" s="629"/>
    </row>
    <row r="49" spans="1:18">
      <c r="A49" s="592"/>
      <c r="B49" s="640" t="str">
        <f>IF(F48="","",IF(F48="peur","du",""))</f>
        <v/>
      </c>
      <c r="C49" s="640"/>
      <c r="D49" s="640"/>
      <c r="E49" s="640"/>
      <c r="F49" s="16"/>
      <c r="G49" s="629"/>
      <c r="H49" s="629"/>
      <c r="I49" s="629"/>
      <c r="J49" s="629"/>
      <c r="K49" s="629"/>
      <c r="L49" s="629"/>
      <c r="M49" s="629"/>
      <c r="N49" s="629"/>
      <c r="O49" s="629"/>
      <c r="P49" s="629"/>
      <c r="Q49" s="629"/>
      <c r="R49" s="629"/>
    </row>
    <row r="50" spans="1:18">
      <c r="A50" s="592"/>
      <c r="B50" s="612"/>
      <c r="C50" s="612"/>
      <c r="D50" s="612"/>
      <c r="E50" s="612"/>
      <c r="F50" s="16"/>
      <c r="G50" s="618" t="str">
        <f>IF(F50="","",IF(F50&gt;10000,"Non relis ce que tu as marqué ! Il te faut un nombre.",IF(AND(F48="peur",F49="nombre",F50=666),"   et de tous les phénomènes paranormaux …!","Non, ce n'est pas le nombre qui t'es demandé")))</f>
        <v/>
      </c>
      <c r="H50" s="618"/>
      <c r="I50" s="618"/>
      <c r="J50" s="618"/>
      <c r="K50" s="618"/>
      <c r="L50" s="618"/>
      <c r="M50" s="618"/>
      <c r="N50" s="618"/>
      <c r="O50" s="618"/>
      <c r="P50" s="618"/>
      <c r="Q50" s="618"/>
      <c r="R50" s="618"/>
    </row>
    <row r="51" spans="1:18">
      <c r="A51" s="592"/>
      <c r="B51" s="185"/>
      <c r="C51" s="641" t="str">
        <f>IF(OR(F48="",F50="",F49=""),"",IF(AND(F48="peur",F49="nombre",F50=666),"Félicitations ! Et je précise que ce mot est plus long que 'anticonstitutionnellement'. Il compte 29 lettres!","On réfléchit, on révise son Latin !"))</f>
        <v/>
      </c>
      <c r="D51" s="641"/>
      <c r="E51" s="641"/>
      <c r="F51" s="641"/>
      <c r="G51" s="641"/>
      <c r="H51" s="641"/>
      <c r="I51" s="641"/>
      <c r="J51" s="641"/>
      <c r="K51" s="641"/>
      <c r="L51" s="641"/>
      <c r="M51" s="641"/>
      <c r="N51" s="641"/>
      <c r="O51" s="641"/>
      <c r="P51" s="641"/>
      <c r="Q51" s="641"/>
      <c r="R51" s="642"/>
    </row>
    <row r="52" spans="1:18">
      <c r="A52" s="607"/>
      <c r="B52" s="608"/>
      <c r="C52" s="608"/>
      <c r="D52" s="608"/>
      <c r="E52" s="608"/>
      <c r="F52" s="608"/>
      <c r="G52" s="608"/>
      <c r="H52" s="608"/>
      <c r="I52" s="608"/>
      <c r="J52" s="608"/>
      <c r="K52" s="608"/>
      <c r="L52" s="608"/>
      <c r="M52" s="608"/>
      <c r="N52" s="608"/>
      <c r="O52" s="608"/>
      <c r="P52" s="608"/>
      <c r="Q52" s="608"/>
      <c r="R52" s="609"/>
    </row>
    <row r="53" spans="1:18">
      <c r="A53" s="592" t="s">
        <v>24</v>
      </c>
      <c r="B53" s="593" t="s">
        <v>25</v>
      </c>
      <c r="C53" s="593"/>
      <c r="D53" s="593"/>
      <c r="E53" s="593"/>
      <c r="F53" s="593"/>
      <c r="G53" s="593"/>
      <c r="H53" s="593"/>
      <c r="I53" s="593"/>
      <c r="J53" s="593"/>
      <c r="K53" s="593"/>
      <c r="L53" s="593"/>
      <c r="M53" s="593"/>
      <c r="N53" s="593"/>
      <c r="O53" s="593"/>
      <c r="P53" s="593"/>
      <c r="Q53" s="593"/>
      <c r="R53" s="594"/>
    </row>
    <row r="54" spans="1:18">
      <c r="A54" s="592"/>
      <c r="B54" s="186" t="s">
        <v>26</v>
      </c>
      <c r="C54" s="186"/>
      <c r="D54" s="643" t="s">
        <v>39</v>
      </c>
      <c r="E54" s="644"/>
      <c r="F54" s="228"/>
      <c r="G54" s="618"/>
      <c r="H54" s="618"/>
      <c r="I54" s="618"/>
      <c r="J54" s="618"/>
      <c r="K54" s="618"/>
      <c r="L54" s="618"/>
      <c r="M54" s="618"/>
      <c r="N54" s="618"/>
      <c r="O54" s="618"/>
      <c r="P54" s="618"/>
      <c r="Q54" s="618"/>
      <c r="R54" s="618"/>
    </row>
    <row r="55" spans="1:18">
      <c r="A55" s="592"/>
      <c r="B55" s="645"/>
      <c r="C55" s="629" t="str">
        <f>IF(F54="","",IF(OR(F54="l'ombre",F54="Ombre"),"Bravo encore excat !!","Continues de chercher !"))</f>
        <v/>
      </c>
      <c r="D55" s="629"/>
      <c r="E55" s="629"/>
      <c r="F55" s="629"/>
      <c r="G55" s="629"/>
      <c r="H55" s="629"/>
      <c r="I55" s="629"/>
      <c r="J55" s="629"/>
      <c r="K55" s="629"/>
      <c r="L55" s="629"/>
      <c r="M55" s="629"/>
      <c r="N55" s="629"/>
      <c r="O55" s="629"/>
      <c r="P55" s="629"/>
      <c r="Q55" s="629"/>
      <c r="R55" s="630"/>
    </row>
    <row r="56" spans="1:18">
      <c r="A56" s="592"/>
      <c r="B56" s="645"/>
      <c r="C56" s="629" t="str">
        <f>IF(F54="","",IF(OR(F54="l'ombre",F54="ombre"),"Pour info : Je suis (verbe 'être') ce que je suis (v. 'être'), mais je ne suis (v. 'être) pas ce que je suis (v. 'suivre'). Car si je suis (v. 'être') ce que je suis (v. 'suivre');","Sois plus attentif à la tournure de la phrase! Indice : Les verbes !"))</f>
        <v/>
      </c>
      <c r="D56" s="629" t="str">
        <f>C56</f>
        <v/>
      </c>
      <c r="E56" s="629"/>
      <c r="F56" s="629"/>
      <c r="G56" s="629"/>
      <c r="H56" s="629"/>
      <c r="I56" s="629"/>
      <c r="J56" s="629"/>
      <c r="K56" s="629"/>
      <c r="L56" s="629"/>
      <c r="M56" s="629"/>
      <c r="N56" s="629"/>
      <c r="O56" s="629"/>
      <c r="P56" s="629"/>
      <c r="Q56" s="629"/>
      <c r="R56" s="630"/>
    </row>
    <row r="57" spans="1:18">
      <c r="A57" s="607"/>
      <c r="B57" s="608"/>
      <c r="C57" s="608" t="str">
        <f>IF(F54="","",IF(OR(F54="l'ombre",F54="ombre"),"alors je ne suis (v. 'être') plus ce que je suis (v.'être').",""))</f>
        <v/>
      </c>
      <c r="D57" s="608" t="str">
        <f>C57</f>
        <v/>
      </c>
      <c r="E57" s="608"/>
      <c r="F57" s="608"/>
      <c r="G57" s="608"/>
      <c r="H57" s="608"/>
      <c r="I57" s="608"/>
      <c r="J57" s="608"/>
      <c r="K57" s="608"/>
      <c r="L57" s="608"/>
      <c r="M57" s="608"/>
      <c r="N57" s="608"/>
      <c r="O57" s="608"/>
      <c r="P57" s="608"/>
      <c r="Q57" s="608"/>
      <c r="R57" s="609"/>
    </row>
    <row r="58" spans="1:18">
      <c r="A58" s="592" t="s">
        <v>27</v>
      </c>
      <c r="B58" s="593" t="s">
        <v>28</v>
      </c>
      <c r="C58" s="593"/>
      <c r="D58" s="593"/>
      <c r="E58" s="593"/>
      <c r="F58" s="593"/>
      <c r="G58" s="600" t="str">
        <f>IF(AND(G61="",OR(F54="ombre",F61&lt;&gt;"")),"BONUS à débloquer !!! -- BONUS à débloquer !!! -- BONUS à débloquer !!!","")</f>
        <v/>
      </c>
      <c r="H58" s="600"/>
      <c r="I58" s="600"/>
      <c r="J58" s="600"/>
      <c r="K58" s="600"/>
      <c r="L58" s="600"/>
      <c r="M58" s="600"/>
      <c r="N58" s="600"/>
      <c r="O58" s="600"/>
      <c r="P58" s="600"/>
      <c r="Q58" s="600"/>
      <c r="R58" s="601"/>
    </row>
    <row r="59" spans="1:18">
      <c r="A59" s="592"/>
      <c r="B59" s="593" t="s">
        <v>29</v>
      </c>
      <c r="C59" s="593"/>
      <c r="D59" s="593"/>
      <c r="E59" s="593"/>
      <c r="F59" s="593"/>
      <c r="G59" s="593"/>
      <c r="H59" s="593"/>
      <c r="I59" s="593"/>
      <c r="J59" s="593"/>
      <c r="K59" s="593"/>
      <c r="L59" s="593"/>
      <c r="M59" s="593"/>
      <c r="N59" s="593"/>
      <c r="O59" s="593"/>
      <c r="P59" s="593"/>
      <c r="Q59" s="593"/>
      <c r="R59" s="594"/>
    </row>
    <row r="60" spans="1:18">
      <c r="A60" s="592"/>
      <c r="B60" s="593" t="s">
        <v>30</v>
      </c>
      <c r="C60" s="593"/>
      <c r="D60" s="593"/>
      <c r="E60" s="593"/>
      <c r="F60" s="593"/>
      <c r="G60" s="593"/>
      <c r="H60" s="593"/>
      <c r="I60" s="593"/>
      <c r="J60" s="593"/>
      <c r="K60" s="593"/>
      <c r="L60" s="593"/>
      <c r="M60" s="593"/>
      <c r="N60" s="593"/>
      <c r="O60" s="593"/>
      <c r="P60" s="593"/>
      <c r="Q60" s="593"/>
      <c r="R60" s="594"/>
    </row>
    <row r="61" spans="1:18">
      <c r="A61" s="592"/>
      <c r="B61" s="595" t="s">
        <v>26</v>
      </c>
      <c r="C61" s="595"/>
      <c r="D61" s="595"/>
      <c r="E61" s="595"/>
      <c r="F61" s="228"/>
      <c r="G61" s="614" t="str">
        <f>IF(OR(HEURE!F10="oui",OR(F61="heure",F61="HEURE",F61="Heure",F61="l'heure",F61="L'HEURE",F61="L'Heure")),"Bravo !! Bonus débloqué, pour y accéder cliquez ICI","")</f>
        <v/>
      </c>
      <c r="H61" s="614"/>
      <c r="I61" s="614"/>
      <c r="J61" s="614"/>
      <c r="K61" s="614"/>
      <c r="L61" s="614"/>
      <c r="M61" s="614"/>
      <c r="N61" s="614"/>
      <c r="O61" s="614"/>
      <c r="P61" s="614"/>
      <c r="Q61" s="614"/>
      <c r="R61" s="614"/>
    </row>
    <row r="62" spans="1:18">
      <c r="A62" s="592"/>
      <c r="B62" s="186"/>
      <c r="C62" s="629" t="str">
        <f>IF(G61="Bravo !! Bonus débloqué, pour y accéder cliquez ICI"," L' 'Heure' est en effet la bonne réponse !",IF(F61="","",IF(OR(F61="l'heure",F61="HEURE"),"Bravo encore excat !!","Continues de chercher !")))</f>
        <v/>
      </c>
      <c r="D62" s="629"/>
      <c r="E62" s="629"/>
      <c r="F62" s="629"/>
      <c r="G62" s="629"/>
      <c r="H62" s="629"/>
      <c r="I62" s="629"/>
      <c r="J62" s="629"/>
      <c r="K62" s="629"/>
      <c r="L62" s="629"/>
      <c r="M62" s="629"/>
      <c r="N62" s="629"/>
      <c r="O62" s="629"/>
      <c r="P62" s="629"/>
      <c r="Q62" s="629"/>
      <c r="R62" s="630"/>
    </row>
    <row r="63" spans="1:18">
      <c r="A63" s="607"/>
      <c r="B63" s="608"/>
      <c r="C63" s="608"/>
      <c r="D63" s="608"/>
      <c r="E63" s="608"/>
      <c r="F63" s="608"/>
      <c r="G63" s="608"/>
      <c r="H63" s="608"/>
      <c r="I63" s="608"/>
      <c r="J63" s="608"/>
      <c r="K63" s="608"/>
      <c r="L63" s="608"/>
      <c r="M63" s="608"/>
      <c r="N63" s="608"/>
      <c r="O63" s="608"/>
      <c r="P63" s="608"/>
      <c r="Q63" s="608"/>
      <c r="R63" s="609"/>
    </row>
    <row r="64" spans="1:18">
      <c r="A64" s="592" t="s">
        <v>31</v>
      </c>
      <c r="B64" s="593" t="s">
        <v>32</v>
      </c>
      <c r="C64" s="593"/>
      <c r="D64" s="593"/>
      <c r="E64" s="593"/>
      <c r="F64" s="593"/>
      <c r="G64" s="593"/>
      <c r="H64" s="593"/>
      <c r="I64" s="593"/>
      <c r="J64" s="593"/>
      <c r="K64" s="593"/>
      <c r="L64" s="593"/>
      <c r="M64" s="593"/>
      <c r="N64" s="593"/>
      <c r="O64" s="593"/>
      <c r="P64" s="593"/>
      <c r="Q64" s="593"/>
      <c r="R64" s="594"/>
    </row>
    <row r="65" spans="1:18">
      <c r="A65" s="592"/>
      <c r="B65" s="593" t="s">
        <v>33</v>
      </c>
      <c r="C65" s="593"/>
      <c r="D65" s="593"/>
      <c r="E65" s="593"/>
      <c r="F65" s="593"/>
      <c r="G65" s="593"/>
      <c r="H65" s="593"/>
      <c r="I65" s="593"/>
      <c r="J65" s="593"/>
      <c r="K65" s="593"/>
      <c r="L65" s="593"/>
      <c r="M65" s="593"/>
      <c r="N65" s="593"/>
      <c r="O65" s="593"/>
      <c r="P65" s="593"/>
      <c r="Q65" s="593"/>
      <c r="R65" s="594"/>
    </row>
    <row r="66" spans="1:18">
      <c r="A66" s="592"/>
      <c r="B66" s="593" t="s">
        <v>34</v>
      </c>
      <c r="C66" s="593"/>
      <c r="D66" s="593"/>
      <c r="E66" s="593"/>
      <c r="F66" s="593"/>
      <c r="G66" s="593"/>
      <c r="H66" s="593"/>
      <c r="I66" s="593"/>
      <c r="J66" s="593"/>
      <c r="K66" s="593"/>
      <c r="L66" s="593"/>
      <c r="M66" s="593"/>
      <c r="N66" s="593"/>
      <c r="O66" s="593"/>
      <c r="P66" s="593"/>
      <c r="Q66" s="593"/>
      <c r="R66" s="594"/>
    </row>
    <row r="67" spans="1:18">
      <c r="A67" s="592"/>
      <c r="B67" s="593" t="s">
        <v>35</v>
      </c>
      <c r="C67" s="593"/>
      <c r="D67" s="593"/>
      <c r="E67" s="593"/>
      <c r="F67" s="593"/>
      <c r="G67" s="593"/>
      <c r="H67" s="593"/>
      <c r="I67" s="593"/>
      <c r="J67" s="593"/>
      <c r="K67" s="593"/>
      <c r="L67" s="593"/>
      <c r="M67" s="593"/>
      <c r="N67" s="593"/>
      <c r="O67" s="593"/>
      <c r="P67" s="593"/>
      <c r="Q67" s="593"/>
      <c r="R67" s="594"/>
    </row>
    <row r="68" spans="1:18">
      <c r="A68" s="592"/>
      <c r="B68" s="595" t="s">
        <v>26</v>
      </c>
      <c r="C68" s="595"/>
      <c r="D68" s="595"/>
      <c r="E68" s="622"/>
      <c r="F68" s="228"/>
      <c r="G68" s="618"/>
      <c r="H68" s="618"/>
      <c r="I68" s="618"/>
      <c r="J68" s="618"/>
      <c r="K68" s="618"/>
      <c r="L68" s="618"/>
      <c r="M68" s="618"/>
      <c r="N68" s="618"/>
      <c r="O68" s="618"/>
      <c r="P68" s="618"/>
      <c r="Q68" s="618"/>
      <c r="R68" s="618"/>
    </row>
    <row r="69" spans="1:18">
      <c r="A69" s="592"/>
      <c r="B69" s="186"/>
      <c r="C69" s="629" t="str">
        <f>IF(F68="","",IF(OR(F68="soleil",F68="le soleil"),"Bravo encore excat !! On ne vous arrête plus","Continues de chercher !"))</f>
        <v/>
      </c>
      <c r="D69" s="629"/>
      <c r="E69" s="629"/>
      <c r="F69" s="629"/>
      <c r="G69" s="629"/>
      <c r="H69" s="629"/>
      <c r="I69" s="629"/>
      <c r="J69" s="629"/>
      <c r="K69" s="629"/>
      <c r="L69" s="629"/>
      <c r="M69" s="629"/>
      <c r="N69" s="629"/>
      <c r="O69" s="629"/>
      <c r="P69" s="629"/>
      <c r="Q69" s="629"/>
      <c r="R69" s="630"/>
    </row>
    <row r="70" spans="1:18">
      <c r="A70" s="639"/>
      <c r="B70" s="639"/>
      <c r="C70" s="639"/>
      <c r="D70" s="639"/>
      <c r="E70" s="639"/>
      <c r="F70" s="639"/>
      <c r="G70" s="639"/>
      <c r="H70" s="639"/>
      <c r="I70" s="639"/>
      <c r="J70" s="639"/>
      <c r="K70" s="639"/>
      <c r="L70" s="639"/>
      <c r="M70" s="639"/>
      <c r="N70" s="639"/>
      <c r="O70" s="639"/>
      <c r="P70" s="639"/>
      <c r="Q70" s="639"/>
      <c r="R70" s="639"/>
    </row>
    <row r="71" spans="1:18">
      <c r="A71" s="592" t="s">
        <v>36</v>
      </c>
      <c r="B71" s="595" t="s">
        <v>47</v>
      </c>
      <c r="C71" s="595"/>
      <c r="D71" s="595"/>
      <c r="E71" s="622"/>
      <c r="F71" s="228"/>
      <c r="G71" s="618" t="s">
        <v>48</v>
      </c>
      <c r="H71" s="618"/>
      <c r="I71" s="618"/>
      <c r="J71" s="618"/>
      <c r="K71" s="618"/>
      <c r="L71" s="618"/>
      <c r="M71" s="618"/>
      <c r="N71" s="618"/>
      <c r="O71" s="618"/>
      <c r="P71" s="618"/>
      <c r="Q71" s="618"/>
      <c r="R71" s="618"/>
    </row>
    <row r="72" spans="1:18">
      <c r="A72" s="592"/>
      <c r="B72" s="186"/>
      <c r="C72" s="629" t="str">
        <f>IF(F71="","",IF(OR(F71="identique",F71="égale",F71="egal",F71="egale",F71="égal",F71="aucun"),"Bravo! Les 2 pèsent le même poids !! (Seul le volume sera nettement plus important pour les plumes).",IF(OR(F71="plumes",F71="plume"),"Non, ce n'est pas cela!",IF(F71="plomb","Non, ce n'est pas cela!","Continues de chercher !"))))</f>
        <v/>
      </c>
      <c r="D72" s="629" t="str">
        <f>C72</f>
        <v/>
      </c>
      <c r="E72" s="629"/>
      <c r="F72" s="629"/>
      <c r="G72" s="629"/>
      <c r="H72" s="629"/>
      <c r="I72" s="629"/>
      <c r="J72" s="629"/>
      <c r="K72" s="629"/>
      <c r="L72" s="629"/>
      <c r="M72" s="629"/>
      <c r="N72" s="629"/>
      <c r="O72" s="629"/>
      <c r="P72" s="629"/>
      <c r="Q72" s="629"/>
      <c r="R72" s="630"/>
    </row>
    <row r="73" spans="1:18">
      <c r="A73" s="607"/>
      <c r="B73" s="608"/>
      <c r="C73" s="608"/>
      <c r="D73" s="608"/>
      <c r="E73" s="608"/>
      <c r="F73" s="608"/>
      <c r="G73" s="608"/>
      <c r="H73" s="608"/>
      <c r="I73" s="608"/>
      <c r="J73" s="608"/>
      <c r="K73" s="608"/>
      <c r="L73" s="608"/>
      <c r="M73" s="608"/>
      <c r="N73" s="608"/>
      <c r="O73" s="608"/>
      <c r="P73" s="608"/>
      <c r="Q73" s="608"/>
      <c r="R73" s="609"/>
    </row>
    <row r="74" spans="1:18">
      <c r="A74" s="592" t="s">
        <v>40</v>
      </c>
      <c r="B74" s="595" t="s">
        <v>41</v>
      </c>
      <c r="C74" s="595"/>
      <c r="D74" s="595"/>
      <c r="E74" s="622"/>
      <c r="F74" s="228"/>
      <c r="G74" s="618"/>
      <c r="H74" s="618"/>
      <c r="I74" s="618"/>
      <c r="J74" s="618"/>
      <c r="K74" s="618"/>
      <c r="L74" s="618"/>
      <c r="M74" s="618"/>
      <c r="N74" s="618"/>
      <c r="O74" s="618"/>
      <c r="P74" s="618"/>
      <c r="Q74" s="618"/>
      <c r="R74" s="618"/>
    </row>
    <row r="75" spans="1:18" ht="15.75" customHeight="1">
      <c r="A75" s="592"/>
      <c r="B75" s="186"/>
      <c r="C75" s="629" t="str">
        <f>IF(F74="","",IF(OR(F74="second",F74=2),"Bravo! En effet, si tu doubles une personne, tu prends sa place!",IF(OR(F74&lt;&gt;"second",F74&lt;&gt;2),"Non, ce n'est pas cela!",)))</f>
        <v/>
      </c>
      <c r="D75" s="629" t="str">
        <f>C75</f>
        <v/>
      </c>
      <c r="E75" s="629"/>
      <c r="F75" s="629"/>
      <c r="G75" s="629"/>
      <c r="H75" s="629"/>
      <c r="I75" s="629"/>
      <c r="J75" s="629"/>
      <c r="K75" s="629"/>
      <c r="L75" s="629"/>
      <c r="M75" s="629"/>
      <c r="N75" s="629"/>
      <c r="O75" s="629"/>
      <c r="P75" s="629"/>
      <c r="Q75" s="629"/>
      <c r="R75" s="630"/>
    </row>
    <row r="76" spans="1:18" ht="15.75" customHeight="1">
      <c r="A76" s="607"/>
      <c r="B76" s="608"/>
      <c r="C76" s="608"/>
      <c r="D76" s="608"/>
      <c r="E76" s="608"/>
      <c r="F76" s="608"/>
      <c r="G76" s="608"/>
      <c r="H76" s="608"/>
      <c r="I76" s="608"/>
      <c r="J76" s="608"/>
      <c r="K76" s="608"/>
      <c r="L76" s="608"/>
      <c r="M76" s="608"/>
      <c r="N76" s="608"/>
      <c r="O76" s="608"/>
      <c r="P76" s="608"/>
      <c r="Q76" s="608"/>
      <c r="R76" s="609"/>
    </row>
    <row r="77" spans="1:18" ht="15.75" customHeight="1">
      <c r="A77" s="592" t="s">
        <v>43</v>
      </c>
      <c r="B77" s="595" t="s">
        <v>42</v>
      </c>
      <c r="C77" s="595"/>
      <c r="D77" s="595"/>
      <c r="E77" s="622"/>
      <c r="F77" s="228"/>
      <c r="G77" s="618"/>
      <c r="H77" s="618"/>
      <c r="I77" s="618"/>
      <c r="J77" s="618"/>
      <c r="K77" s="618"/>
      <c r="L77" s="618"/>
      <c r="M77" s="618"/>
      <c r="N77" s="618"/>
      <c r="O77" s="618"/>
      <c r="P77" s="618"/>
      <c r="Q77" s="618"/>
      <c r="R77" s="618"/>
    </row>
    <row r="78" spans="1:18">
      <c r="A78" s="592"/>
      <c r="B78" s="186"/>
      <c r="C78" s="629" t="str">
        <f>IF(F77="","",IF(F77="dernier","Bravo! Quelle logique ! Réfléchis un peu … !",IF(F77="impossible","Bravo! En effet tu ne peux pas doubler le dernier puisqu'il s'agit de toi !!","Réfléchis")))</f>
        <v/>
      </c>
      <c r="D78" s="629" t="str">
        <f>C78</f>
        <v/>
      </c>
      <c r="E78" s="629"/>
      <c r="F78" s="629"/>
      <c r="G78" s="629"/>
      <c r="H78" s="629"/>
      <c r="I78" s="629"/>
      <c r="J78" s="629"/>
      <c r="K78" s="629"/>
      <c r="L78" s="629"/>
      <c r="M78" s="629"/>
      <c r="N78" s="629"/>
      <c r="O78" s="629"/>
      <c r="P78" s="629"/>
      <c r="Q78" s="629"/>
      <c r="R78" s="630"/>
    </row>
    <row r="79" spans="1:18">
      <c r="A79" s="607"/>
      <c r="B79" s="608"/>
      <c r="C79" s="608"/>
      <c r="D79" s="608"/>
      <c r="E79" s="608"/>
      <c r="F79" s="608"/>
      <c r="G79" s="608"/>
      <c r="H79" s="608"/>
      <c r="I79" s="608"/>
      <c r="J79" s="608"/>
      <c r="K79" s="608"/>
      <c r="L79" s="608"/>
      <c r="M79" s="608"/>
      <c r="N79" s="608"/>
      <c r="O79" s="608"/>
      <c r="P79" s="608"/>
      <c r="Q79" s="608"/>
      <c r="R79" s="609"/>
    </row>
    <row r="80" spans="1:18">
      <c r="A80" s="592" t="s">
        <v>44</v>
      </c>
      <c r="B80" s="593" t="s">
        <v>45</v>
      </c>
      <c r="C80" s="593"/>
      <c r="D80" s="593"/>
      <c r="E80" s="593"/>
      <c r="F80" s="593"/>
      <c r="G80" s="593"/>
      <c r="H80" s="593"/>
      <c r="I80" s="593"/>
      <c r="J80" s="593"/>
      <c r="K80" s="593"/>
      <c r="L80" s="593"/>
      <c r="M80" s="593"/>
      <c r="N80" s="593"/>
      <c r="O80" s="593"/>
      <c r="P80" s="593"/>
      <c r="Q80" s="593"/>
      <c r="R80" s="594"/>
    </row>
    <row r="81" spans="1:18">
      <c r="A81" s="592"/>
      <c r="B81" s="595" t="s">
        <v>64</v>
      </c>
      <c r="C81" s="595"/>
      <c r="D81" s="595"/>
      <c r="E81" s="622"/>
      <c r="F81" s="228"/>
      <c r="G81" s="618"/>
      <c r="H81" s="618"/>
      <c r="I81" s="618"/>
      <c r="J81" s="618"/>
      <c r="K81" s="618"/>
      <c r="L81" s="618"/>
      <c r="M81" s="618"/>
      <c r="N81" s="618"/>
      <c r="O81" s="618"/>
      <c r="P81" s="618"/>
      <c r="Q81" s="618"/>
      <c r="R81" s="618"/>
    </row>
    <row r="82" spans="1:18">
      <c r="A82" s="592"/>
      <c r="B82" s="186"/>
      <c r="C82" s="629" t="str">
        <f>IF(F81="","",IF(F81=3,"Félicitations ! Au maximun : la première est blanche (ou noire), la seconde est à l'inverse de la première : noire (ou blanche); la troisième sera forcément noire ou blanche et donc déterminera la couleur !",IF(F81&lt;&gt;3,"Non réfléchis !")))</f>
        <v/>
      </c>
      <c r="D82" s="629" t="str">
        <f>C82</f>
        <v/>
      </c>
      <c r="E82" s="629"/>
      <c r="F82" s="629"/>
      <c r="G82" s="629"/>
      <c r="H82" s="629"/>
      <c r="I82" s="629"/>
      <c r="J82" s="629"/>
      <c r="K82" s="629"/>
      <c r="L82" s="629"/>
      <c r="M82" s="629"/>
      <c r="N82" s="629"/>
      <c r="O82" s="629"/>
      <c r="P82" s="629"/>
      <c r="Q82" s="629"/>
      <c r="R82" s="630"/>
    </row>
    <row r="83" spans="1:18">
      <c r="A83" s="607"/>
      <c r="B83" s="608"/>
      <c r="C83" s="608" t="str">
        <f>IF(F81="","",IF(F81=3,"",""))</f>
        <v/>
      </c>
      <c r="D83" s="608" t="str">
        <f>C83</f>
        <v/>
      </c>
      <c r="E83" s="608"/>
      <c r="F83" s="608"/>
      <c r="G83" s="608"/>
      <c r="H83" s="608"/>
      <c r="I83" s="608"/>
      <c r="J83" s="608"/>
      <c r="K83" s="608"/>
      <c r="L83" s="608"/>
      <c r="M83" s="608"/>
      <c r="N83" s="608"/>
      <c r="O83" s="608"/>
      <c r="P83" s="608"/>
      <c r="Q83" s="608"/>
      <c r="R83" s="609"/>
    </row>
    <row r="84" spans="1:18">
      <c r="A84" s="592" t="s">
        <v>50</v>
      </c>
      <c r="B84" s="595" t="s">
        <v>483</v>
      </c>
      <c r="C84" s="595"/>
      <c r="D84" s="595"/>
      <c r="E84" s="595"/>
      <c r="F84" s="595"/>
      <c r="G84" s="595"/>
      <c r="H84" s="622"/>
      <c r="I84" s="664" t="s">
        <v>51</v>
      </c>
      <c r="J84" s="664"/>
      <c r="K84" s="664"/>
      <c r="L84" s="664"/>
      <c r="M84" s="664"/>
      <c r="N84" s="664"/>
      <c r="O84" s="664"/>
      <c r="P84" s="664"/>
      <c r="Q84" s="664"/>
      <c r="R84" s="660"/>
    </row>
    <row r="85" spans="1:18">
      <c r="A85" s="592"/>
      <c r="B85" s="186"/>
      <c r="C85" s="610" t="str">
        <f>IF(Q85="","",IF(AND(I85="d",J85="i",K85="x",L85="v",M85="a",N85="c",O85="h",P85="e",Q85="s"),"Bravo !! Félicitations !!","C'est faux! Allez on réfléchit !!"))</f>
        <v/>
      </c>
      <c r="D85" s="610"/>
      <c r="E85" s="610"/>
      <c r="F85" s="610"/>
      <c r="G85" s="610"/>
      <c r="H85" s="638"/>
      <c r="I85" s="228"/>
      <c r="J85" s="228"/>
      <c r="K85" s="228"/>
      <c r="L85" s="228"/>
      <c r="M85" s="228"/>
      <c r="N85" s="228"/>
      <c r="O85" s="228"/>
      <c r="P85" s="228"/>
      <c r="Q85" s="228"/>
      <c r="R85" s="660"/>
    </row>
    <row r="86" spans="1:18">
      <c r="A86" s="607"/>
      <c r="B86" s="608"/>
      <c r="C86" s="608"/>
      <c r="D86" s="608"/>
      <c r="E86" s="608"/>
      <c r="F86" s="608"/>
      <c r="G86" s="608"/>
      <c r="H86" s="608"/>
      <c r="I86" s="608"/>
      <c r="J86" s="608"/>
      <c r="K86" s="608"/>
      <c r="L86" s="608"/>
      <c r="M86" s="608"/>
      <c r="N86" s="608"/>
      <c r="O86" s="608"/>
      <c r="P86" s="608"/>
      <c r="Q86" s="608"/>
      <c r="R86" s="609"/>
    </row>
    <row r="87" spans="1:18">
      <c r="A87" s="592" t="s">
        <v>52</v>
      </c>
      <c r="B87" s="593" t="s">
        <v>198</v>
      </c>
      <c r="C87" s="593"/>
      <c r="D87" s="593"/>
      <c r="E87" s="593"/>
      <c r="F87" s="593"/>
      <c r="G87" s="593"/>
      <c r="H87" s="593"/>
      <c r="I87" s="593"/>
      <c r="J87" s="593"/>
      <c r="K87" s="593"/>
      <c r="L87" s="593"/>
      <c r="M87" s="593"/>
      <c r="N87" s="593"/>
      <c r="O87" s="593"/>
      <c r="P87" s="593"/>
      <c r="Q87" s="593"/>
      <c r="R87" s="594"/>
    </row>
    <row r="88" spans="1:18">
      <c r="A88" s="592"/>
      <c r="B88" s="595" t="s">
        <v>26</v>
      </c>
      <c r="C88" s="595"/>
      <c r="D88" s="595"/>
      <c r="E88" s="622"/>
      <c r="F88" s="228"/>
      <c r="G88" s="618"/>
      <c r="H88" s="618"/>
      <c r="I88" s="618"/>
      <c r="J88" s="618"/>
      <c r="K88" s="618"/>
      <c r="L88" s="618"/>
      <c r="M88" s="618"/>
      <c r="N88" s="618"/>
      <c r="O88" s="618"/>
      <c r="P88" s="618"/>
      <c r="Q88" s="618"/>
      <c r="R88" s="618"/>
    </row>
    <row r="89" spans="1:18">
      <c r="A89" s="592"/>
      <c r="B89" s="186"/>
      <c r="C89" s="629" t="str">
        <f>IF(F88="","",IF(F88="a","Bravo !! Le 'A' est la première lettre de l'alphabet français (26 lettres), et si on enlève le 'a' de Paris, on obtient 'pris' !","Continues de réfléchir!"))</f>
        <v/>
      </c>
      <c r="D89" s="629" t="str">
        <f>C89</f>
        <v/>
      </c>
      <c r="E89" s="629"/>
      <c r="F89" s="629"/>
      <c r="G89" s="629"/>
      <c r="H89" s="629"/>
      <c r="I89" s="629"/>
      <c r="J89" s="629"/>
      <c r="K89" s="629"/>
      <c r="L89" s="629"/>
      <c r="M89" s="629"/>
      <c r="N89" s="629"/>
      <c r="O89" s="629"/>
      <c r="P89" s="629"/>
      <c r="Q89" s="629"/>
      <c r="R89" s="630"/>
    </row>
    <row r="90" spans="1:18">
      <c r="A90" s="607"/>
      <c r="B90" s="608"/>
      <c r="C90" s="608"/>
      <c r="D90" s="608"/>
      <c r="E90" s="608"/>
      <c r="F90" s="608"/>
      <c r="G90" s="608"/>
      <c r="H90" s="608"/>
      <c r="I90" s="608"/>
      <c r="J90" s="608"/>
      <c r="K90" s="608"/>
      <c r="L90" s="608"/>
      <c r="M90" s="608"/>
      <c r="N90" s="608"/>
      <c r="O90" s="608"/>
      <c r="P90" s="608"/>
      <c r="Q90" s="608"/>
      <c r="R90" s="609"/>
    </row>
    <row r="91" spans="1:18">
      <c r="A91" s="592" t="s">
        <v>53</v>
      </c>
      <c r="B91" s="595" t="s">
        <v>54</v>
      </c>
      <c r="C91" s="595"/>
      <c r="D91" s="595"/>
      <c r="E91" s="636" t="str">
        <f>IF(AND(G96="",OR(F92&lt;&gt;"",F88="A")),"BONUS à débloquer !!! -- BONUS à débloquer !!! -- BONUS à débloquer !!! -- BONUS à débloquer !!! -- BONUS à débloquer !!! -- BONUS à débloquer !!!","")</f>
        <v/>
      </c>
      <c r="F91" s="636"/>
      <c r="G91" s="636"/>
      <c r="H91" s="636"/>
      <c r="I91" s="636"/>
      <c r="J91" s="636"/>
      <c r="K91" s="636"/>
      <c r="L91" s="636"/>
      <c r="M91" s="636"/>
      <c r="N91" s="636"/>
      <c r="O91" s="636"/>
      <c r="P91" s="636"/>
      <c r="Q91" s="636"/>
      <c r="R91" s="637"/>
    </row>
    <row r="92" spans="1:18" ht="15" customHeight="1">
      <c r="A92" s="592"/>
      <c r="B92" s="645"/>
      <c r="C92" s="645"/>
      <c r="D92" s="645"/>
      <c r="E92" s="168">
        <v>1</v>
      </c>
      <c r="F92" s="4"/>
      <c r="G92" s="641" t="str">
        <f>IF(F92="","",IF(F92=111221,"Bravo !","Non, continues de chercher!"))</f>
        <v/>
      </c>
      <c r="H92" s="641"/>
      <c r="I92" s="641"/>
      <c r="J92" s="641"/>
      <c r="K92" s="641"/>
      <c r="L92" s="641"/>
      <c r="M92" s="641"/>
      <c r="N92" s="641"/>
      <c r="O92" s="641"/>
      <c r="P92" s="641"/>
      <c r="Q92" s="641"/>
      <c r="R92" s="641"/>
    </row>
    <row r="93" spans="1:18">
      <c r="A93" s="592"/>
      <c r="B93" s="645"/>
      <c r="C93" s="645"/>
      <c r="D93" s="645"/>
      <c r="E93" s="168">
        <v>11</v>
      </c>
      <c r="F93" s="17"/>
      <c r="G93" s="641" t="str">
        <f>IF(F93="","",IF(F93=312211,"Bravo !","Non, continues de chercher!"))</f>
        <v/>
      </c>
      <c r="H93" s="641"/>
      <c r="I93" s="641"/>
      <c r="J93" s="641"/>
      <c r="K93" s="641"/>
      <c r="L93" s="641"/>
      <c r="M93" s="641"/>
      <c r="N93" s="641"/>
      <c r="O93" s="641"/>
      <c r="P93" s="641"/>
      <c r="Q93" s="641"/>
      <c r="R93" s="641"/>
    </row>
    <row r="94" spans="1:18">
      <c r="A94" s="592"/>
      <c r="B94" s="645"/>
      <c r="C94" s="645"/>
      <c r="D94" s="645"/>
      <c r="E94" s="168">
        <v>21</v>
      </c>
      <c r="F94" s="17"/>
      <c r="G94" s="641" t="str">
        <f>IF(F94="","",IF(F94=13112221,"Bravo !","Non, continues de chercher!"))</f>
        <v/>
      </c>
      <c r="H94" s="641"/>
      <c r="I94" s="641"/>
      <c r="J94" s="641"/>
      <c r="K94" s="641"/>
      <c r="L94" s="641"/>
      <c r="M94" s="641"/>
      <c r="N94" s="641"/>
      <c r="O94" s="641"/>
      <c r="P94" s="641"/>
      <c r="Q94" s="641"/>
      <c r="R94" s="641"/>
    </row>
    <row r="95" spans="1:18">
      <c r="A95" s="592"/>
      <c r="B95" s="645"/>
      <c r="C95" s="645"/>
      <c r="D95" s="645"/>
      <c r="E95" s="168">
        <v>1211</v>
      </c>
      <c r="F95" s="17"/>
      <c r="G95" s="641" t="str">
        <f>IF(F95="","",IF(F95=1113213211,"Bravo !","Non, continues de chercher!"))</f>
        <v/>
      </c>
      <c r="H95" s="641"/>
      <c r="I95" s="641"/>
      <c r="J95" s="641"/>
      <c r="K95" s="641"/>
      <c r="L95" s="641"/>
      <c r="M95" s="641"/>
      <c r="N95" s="641"/>
      <c r="O95" s="641"/>
      <c r="P95" s="641"/>
      <c r="Q95" s="641"/>
      <c r="R95" s="641"/>
    </row>
    <row r="96" spans="1:18">
      <c r="A96" s="592"/>
      <c r="B96" s="646" t="str">
        <f>IF(G96="Bravo !! Bonus débloqué, pour y accéder cliquez ICI","En effet, il faut lire ce que tu vois… pour '1' &gt; un '1' (soit 11) donc pour 1211 &gt; un '1', un '2' et deux '1'  (soit 111221) …","")</f>
        <v/>
      </c>
      <c r="C96" s="646"/>
      <c r="D96" s="646"/>
      <c r="E96" s="646"/>
      <c r="F96" s="169" t="str">
        <f>IF(F95="","",IF(F95=1113213211,"etc...",""))</f>
        <v/>
      </c>
      <c r="G96" s="614" t="str">
        <f>IF(OR(LOGIQUE!I3="oui",D97="Féliciations tu as trouvé le mode de fonctionnement !"),"Bravo !! Bonus débloqué, pour y accéder cliquez ICI","")</f>
        <v/>
      </c>
      <c r="H96" s="614"/>
      <c r="I96" s="614"/>
      <c r="J96" s="614"/>
      <c r="K96" s="614"/>
      <c r="L96" s="614"/>
      <c r="M96" s="614"/>
      <c r="N96" s="614"/>
      <c r="O96" s="614"/>
      <c r="P96" s="614"/>
      <c r="Q96" s="614"/>
      <c r="R96" s="647"/>
    </row>
    <row r="97" spans="1:18">
      <c r="A97" s="607"/>
      <c r="B97" s="608"/>
      <c r="C97" s="608" t="str">
        <f>IF(G92="","",IF(AND(G92="Bravo !",G93="Bravo !",G94="Bravo !",G95="Bravo !"),"Féliciations tu as trouvé le mode de fonctionnement !",IF(OR(G92="Non, continues de chercher!",G93="Non, continues de chercher!",G94="Non, continues de chercher!",G95="Non, continues de chercher!"),"Lis ce que tu vois !!","")))</f>
        <v/>
      </c>
      <c r="D97" s="608" t="str">
        <f>C97</f>
        <v/>
      </c>
      <c r="E97" s="608"/>
      <c r="F97" s="608"/>
      <c r="G97" s="608"/>
      <c r="H97" s="608"/>
      <c r="I97" s="608"/>
      <c r="J97" s="608"/>
      <c r="K97" s="608"/>
      <c r="L97" s="608"/>
      <c r="M97" s="608"/>
      <c r="N97" s="608"/>
      <c r="O97" s="608"/>
      <c r="P97" s="608"/>
      <c r="Q97" s="608"/>
      <c r="R97" s="609"/>
    </row>
    <row r="98" spans="1:18">
      <c r="A98" s="592" t="s">
        <v>55</v>
      </c>
      <c r="B98" s="593" t="s">
        <v>56</v>
      </c>
      <c r="C98" s="593"/>
      <c r="D98" s="593"/>
      <c r="E98" s="593"/>
      <c r="F98" s="593"/>
      <c r="G98" s="593"/>
      <c r="H98" s="593"/>
      <c r="I98" s="593"/>
      <c r="J98" s="593"/>
      <c r="K98" s="593"/>
      <c r="L98" s="593"/>
      <c r="M98" s="593"/>
      <c r="N98" s="593"/>
      <c r="O98" s="593"/>
      <c r="P98" s="593"/>
      <c r="Q98" s="593"/>
      <c r="R98" s="594"/>
    </row>
    <row r="99" spans="1:18">
      <c r="A99" s="592"/>
      <c r="B99" s="595" t="s">
        <v>57</v>
      </c>
      <c r="C99" s="595"/>
      <c r="D99" s="595"/>
      <c r="E99" s="595"/>
      <c r="F99" s="595"/>
      <c r="G99" s="595"/>
      <c r="H99" s="595"/>
      <c r="I99" s="595"/>
      <c r="J99" s="595"/>
      <c r="K99" s="595"/>
      <c r="L99" s="595"/>
      <c r="M99" s="595"/>
      <c r="N99" s="595"/>
      <c r="O99" s="595"/>
      <c r="P99" s="595"/>
      <c r="Q99" s="595"/>
      <c r="R99" s="633"/>
    </row>
    <row r="100" spans="1:18">
      <c r="A100" s="592"/>
      <c r="B100" s="595" t="s">
        <v>199</v>
      </c>
      <c r="C100" s="595"/>
      <c r="D100" s="595"/>
      <c r="E100" s="622"/>
      <c r="F100" s="228"/>
      <c r="G100" s="618"/>
      <c r="H100" s="618"/>
      <c r="I100" s="618"/>
      <c r="J100" s="618"/>
      <c r="K100" s="618"/>
      <c r="L100" s="618"/>
      <c r="M100" s="618"/>
      <c r="N100" s="618"/>
      <c r="O100" s="618"/>
      <c r="P100" s="618"/>
      <c r="Q100" s="618"/>
      <c r="R100" s="618"/>
    </row>
    <row r="101" spans="1:18">
      <c r="A101" s="592"/>
      <c r="B101" s="186"/>
      <c r="C101" s="629" t="str">
        <f>IF(F100="","",IF(OR(F100="impossible",F100="Jamais"),"Bravo, c'est exact ! Le Bateau flotte donc le niveau de la mer n'atteindra jamais le premier barreau !!","Essayes encore, c'est facile, la réponse est dans la question !"))</f>
        <v/>
      </c>
      <c r="D101" s="629" t="str">
        <f>C101</f>
        <v/>
      </c>
      <c r="E101" s="629"/>
      <c r="F101" s="629"/>
      <c r="G101" s="629"/>
      <c r="H101" s="629"/>
      <c r="I101" s="629"/>
      <c r="J101" s="629"/>
      <c r="K101" s="629"/>
      <c r="L101" s="629"/>
      <c r="M101" s="629"/>
      <c r="N101" s="629"/>
      <c r="O101" s="629"/>
      <c r="P101" s="629"/>
      <c r="Q101" s="629"/>
      <c r="R101" s="630"/>
    </row>
    <row r="102" spans="1:18">
      <c r="A102" s="607"/>
      <c r="B102" s="608"/>
      <c r="C102" s="608"/>
      <c r="D102" s="608"/>
      <c r="E102" s="608"/>
      <c r="F102" s="608"/>
      <c r="G102" s="608"/>
      <c r="H102" s="608"/>
      <c r="I102" s="608"/>
      <c r="J102" s="608"/>
      <c r="K102" s="608"/>
      <c r="L102" s="608"/>
      <c r="M102" s="608"/>
      <c r="N102" s="608"/>
      <c r="O102" s="608"/>
      <c r="P102" s="608"/>
      <c r="Q102" s="608"/>
      <c r="R102" s="609"/>
    </row>
    <row r="103" spans="1:18">
      <c r="A103" s="592" t="s">
        <v>58</v>
      </c>
      <c r="B103" s="595" t="s">
        <v>65</v>
      </c>
      <c r="C103" s="595"/>
      <c r="D103" s="595"/>
      <c r="E103" s="622"/>
      <c r="F103" s="228"/>
      <c r="G103" s="618"/>
      <c r="H103" s="618"/>
      <c r="I103" s="618"/>
      <c r="J103" s="618"/>
      <c r="K103" s="618"/>
      <c r="L103" s="618"/>
      <c r="M103" s="618"/>
      <c r="N103" s="618"/>
      <c r="O103" s="618"/>
      <c r="P103" s="618"/>
      <c r="Q103" s="618"/>
      <c r="R103" s="618"/>
    </row>
    <row r="104" spans="1:18">
      <c r="A104" s="592"/>
      <c r="B104" s="186"/>
      <c r="C104" s="629" t="str">
        <f>IF(F103="","",IF(F103=1,"Alors cette question n'est pas aussi facile que je le croyais!",IF(OR(F103="tous",F103=12),"Bravo ! C'est exact, tous les mois ont 28 jours minimun !!","Faux !")))</f>
        <v/>
      </c>
      <c r="D104" s="629" t="str">
        <f>C104</f>
        <v/>
      </c>
      <c r="E104" s="629"/>
      <c r="F104" s="629"/>
      <c r="G104" s="629"/>
      <c r="H104" s="629"/>
      <c r="I104" s="629"/>
      <c r="J104" s="629"/>
      <c r="K104" s="629"/>
      <c r="L104" s="629"/>
      <c r="M104" s="629"/>
      <c r="N104" s="629"/>
      <c r="O104" s="629"/>
      <c r="P104" s="629"/>
      <c r="Q104" s="629"/>
      <c r="R104" s="630"/>
    </row>
    <row r="105" spans="1:18">
      <c r="A105" s="607"/>
      <c r="B105" s="608"/>
      <c r="C105" s="608"/>
      <c r="D105" s="608"/>
      <c r="E105" s="608"/>
      <c r="F105" s="608"/>
      <c r="G105" s="608"/>
      <c r="H105" s="608"/>
      <c r="I105" s="608"/>
      <c r="J105" s="608"/>
      <c r="K105" s="608"/>
      <c r="L105" s="608"/>
      <c r="M105" s="608"/>
      <c r="N105" s="608"/>
      <c r="O105" s="608"/>
      <c r="P105" s="608"/>
      <c r="Q105" s="608"/>
      <c r="R105" s="609"/>
    </row>
    <row r="106" spans="1:18">
      <c r="A106" s="592" t="s">
        <v>59</v>
      </c>
      <c r="B106" s="593" t="s">
        <v>69</v>
      </c>
      <c r="C106" s="593"/>
      <c r="D106" s="593"/>
      <c r="E106" s="593"/>
      <c r="F106" s="593"/>
      <c r="G106" s="593"/>
      <c r="H106" s="593"/>
      <c r="I106" s="593"/>
      <c r="J106" s="593"/>
      <c r="K106" s="593"/>
      <c r="L106" s="593"/>
      <c r="M106" s="593"/>
      <c r="N106" s="593"/>
      <c r="O106" s="593"/>
      <c r="P106" s="593"/>
      <c r="Q106" s="593"/>
      <c r="R106" s="594"/>
    </row>
    <row r="107" spans="1:18">
      <c r="A107" s="592"/>
      <c r="B107" s="595" t="s">
        <v>194</v>
      </c>
      <c r="C107" s="595"/>
      <c r="D107" s="595"/>
      <c r="E107" s="187" t="s">
        <v>195</v>
      </c>
      <c r="F107" s="228"/>
      <c r="G107" s="618"/>
      <c r="H107" s="618"/>
      <c r="I107" s="618"/>
      <c r="J107" s="618"/>
      <c r="K107" s="618"/>
      <c r="L107" s="618"/>
      <c r="M107" s="618"/>
      <c r="N107" s="618"/>
      <c r="O107" s="618"/>
      <c r="P107" s="618"/>
      <c r="Q107" s="618"/>
      <c r="R107" s="618"/>
    </row>
    <row r="108" spans="1:18">
      <c r="A108" s="592"/>
      <c r="B108" s="186"/>
      <c r="C108" s="629" t="str">
        <f>IF(F107="","",IF(F107="aucune","Faux !",IF(F107="secours","Bravo !!","continues de chercher !")))</f>
        <v/>
      </c>
      <c r="D108" s="629" t="str">
        <f>C108</f>
        <v/>
      </c>
      <c r="E108" s="629"/>
      <c r="F108" s="629"/>
      <c r="G108" s="629"/>
      <c r="H108" s="629"/>
      <c r="I108" s="629"/>
      <c r="J108" s="629"/>
      <c r="K108" s="629"/>
      <c r="L108" s="629"/>
      <c r="M108" s="629"/>
      <c r="N108" s="629"/>
      <c r="O108" s="629"/>
      <c r="P108" s="629"/>
      <c r="Q108" s="629"/>
      <c r="R108" s="630"/>
    </row>
    <row r="109" spans="1:18">
      <c r="A109" s="607"/>
      <c r="B109" s="608"/>
      <c r="C109" s="608"/>
      <c r="D109" s="608"/>
      <c r="E109" s="608"/>
      <c r="F109" s="608"/>
      <c r="G109" s="608"/>
      <c r="H109" s="608"/>
      <c r="I109" s="608"/>
      <c r="J109" s="608"/>
      <c r="K109" s="608"/>
      <c r="L109" s="608"/>
      <c r="M109" s="608"/>
      <c r="N109" s="608"/>
      <c r="O109" s="608"/>
      <c r="P109" s="608"/>
      <c r="Q109" s="608"/>
      <c r="R109" s="609"/>
    </row>
    <row r="110" spans="1:18">
      <c r="A110" s="592" t="s">
        <v>60</v>
      </c>
      <c r="B110" s="595" t="s">
        <v>204</v>
      </c>
      <c r="C110" s="595"/>
      <c r="D110" s="595"/>
      <c r="E110" s="622"/>
      <c r="F110" s="228"/>
      <c r="G110" s="618"/>
      <c r="H110" s="618"/>
      <c r="I110" s="618"/>
      <c r="J110" s="618"/>
      <c r="K110" s="618"/>
      <c r="L110" s="618"/>
      <c r="M110" s="618"/>
      <c r="N110" s="618"/>
      <c r="O110" s="618"/>
      <c r="P110" s="618"/>
      <c r="Q110" s="618"/>
      <c r="R110" s="618"/>
    </row>
    <row r="111" spans="1:18">
      <c r="A111" s="592"/>
      <c r="B111" s="186"/>
      <c r="C111" s="629" t="str">
        <f>IF(F110="","",IF(OR(F110="seconde",F110="secondes",F110="minute",F110="minutes",F110="jour",F110="jours"),"C'est faux ! - revenez donc sur la question 11 !",IF(OR(F110="heure",F110="heures"),"Et oui bien évidemment !","Cela n'a rien à voir avec la question !!")))</f>
        <v/>
      </c>
      <c r="D111" s="629" t="str">
        <f>C111</f>
        <v/>
      </c>
      <c r="E111" s="629"/>
      <c r="F111" s="629"/>
      <c r="G111" s="629"/>
      <c r="H111" s="629"/>
      <c r="I111" s="629"/>
      <c r="J111" s="629"/>
      <c r="K111" s="629"/>
      <c r="L111" s="629"/>
      <c r="M111" s="629"/>
      <c r="N111" s="629"/>
      <c r="O111" s="629"/>
      <c r="P111" s="629"/>
      <c r="Q111" s="629"/>
      <c r="R111" s="630"/>
    </row>
    <row r="112" spans="1:18">
      <c r="A112" s="607"/>
      <c r="B112" s="608"/>
      <c r="C112" s="608"/>
      <c r="D112" s="608"/>
      <c r="E112" s="608"/>
      <c r="F112" s="608"/>
      <c r="G112" s="608"/>
      <c r="H112" s="608"/>
      <c r="I112" s="608"/>
      <c r="J112" s="608"/>
      <c r="K112" s="608"/>
      <c r="L112" s="608"/>
      <c r="M112" s="608"/>
      <c r="N112" s="608"/>
      <c r="O112" s="608"/>
      <c r="P112" s="608"/>
      <c r="Q112" s="608"/>
      <c r="R112" s="609"/>
    </row>
    <row r="113" spans="1:18">
      <c r="A113" s="592" t="s">
        <v>61</v>
      </c>
      <c r="B113" s="593" t="s">
        <v>66</v>
      </c>
      <c r="C113" s="593"/>
      <c r="D113" s="593"/>
      <c r="E113" s="593"/>
      <c r="F113" s="593"/>
      <c r="G113" s="593"/>
      <c r="H113" s="593"/>
      <c r="I113" s="593"/>
      <c r="J113" s="593"/>
      <c r="K113" s="593"/>
      <c r="L113" s="593"/>
      <c r="M113" s="593"/>
      <c r="N113" s="593"/>
      <c r="O113" s="593"/>
      <c r="P113" s="593"/>
      <c r="Q113" s="593"/>
      <c r="R113" s="594"/>
    </row>
    <row r="114" spans="1:18">
      <c r="A114" s="592"/>
      <c r="B114" s="595" t="s">
        <v>26</v>
      </c>
      <c r="C114" s="595"/>
      <c r="D114" s="595"/>
      <c r="E114" s="187" t="s">
        <v>67</v>
      </c>
      <c r="F114" s="228"/>
      <c r="G114" s="618"/>
      <c r="H114" s="618"/>
      <c r="I114" s="618"/>
      <c r="J114" s="618"/>
      <c r="K114" s="618"/>
      <c r="L114" s="618"/>
      <c r="M114" s="618"/>
      <c r="N114" s="618"/>
      <c r="O114" s="618"/>
      <c r="P114" s="618"/>
      <c r="Q114" s="618"/>
      <c r="R114" s="618"/>
    </row>
    <row r="115" spans="1:18">
      <c r="A115" s="592"/>
      <c r="B115" s="186"/>
      <c r="C115" s="629" t="str">
        <f>IF(F114="","",IF(F114="dictionnaire","Bravo !! Quelle logique !!",IF(F114="DICO","Ouais…. Et En vrai français ça donne quoi …","Réflechis !!")))</f>
        <v/>
      </c>
      <c r="D115" s="629" t="str">
        <f>C115</f>
        <v/>
      </c>
      <c r="E115" s="629"/>
      <c r="F115" s="629"/>
      <c r="G115" s="629"/>
      <c r="H115" s="629"/>
      <c r="I115" s="629"/>
      <c r="J115" s="629"/>
      <c r="K115" s="629"/>
      <c r="L115" s="629"/>
      <c r="M115" s="629"/>
      <c r="N115" s="629"/>
      <c r="O115" s="629"/>
      <c r="P115" s="629"/>
      <c r="Q115" s="629"/>
      <c r="R115" s="630"/>
    </row>
    <row r="116" spans="1:18">
      <c r="A116" s="607"/>
      <c r="B116" s="608"/>
      <c r="C116" s="608"/>
      <c r="D116" s="608"/>
      <c r="E116" s="608"/>
      <c r="F116" s="608"/>
      <c r="G116" s="608"/>
      <c r="H116" s="608"/>
      <c r="I116" s="608"/>
      <c r="J116" s="608"/>
      <c r="K116" s="608"/>
      <c r="L116" s="608"/>
      <c r="M116" s="608"/>
      <c r="N116" s="608"/>
      <c r="O116" s="608"/>
      <c r="P116" s="608"/>
      <c r="Q116" s="608"/>
      <c r="R116" s="609"/>
    </row>
    <row r="117" spans="1:18">
      <c r="A117" s="592" t="s">
        <v>62</v>
      </c>
      <c r="B117" s="595" t="s">
        <v>68</v>
      </c>
      <c r="C117" s="595"/>
      <c r="D117" s="595"/>
      <c r="E117" s="622"/>
      <c r="F117" s="228"/>
      <c r="G117" s="618"/>
      <c r="H117" s="618"/>
      <c r="I117" s="618"/>
      <c r="J117" s="618"/>
      <c r="K117" s="618"/>
      <c r="L117" s="618"/>
      <c r="M117" s="618"/>
      <c r="N117" s="618"/>
      <c r="O117" s="618"/>
      <c r="P117" s="618"/>
      <c r="Q117" s="618"/>
      <c r="R117" s="618"/>
    </row>
    <row r="118" spans="1:18">
      <c r="A118" s="592"/>
      <c r="B118" s="186"/>
      <c r="C118" s="629" t="str">
        <f>IF(F117="","",IF(OR(F117="sec",F117="sèche"),"Faux, réfléchis bien !! Et relis la question !",IF(OR(F117="impossible",F117="mouillée",F117="mouillee",F117="aucun"),"Bravo, l'eau d'est pas sèche mais mouillée !","Cela n'a rien à voir avec la question !!")))</f>
        <v/>
      </c>
      <c r="D118" s="629" t="str">
        <f>C118</f>
        <v/>
      </c>
      <c r="E118" s="629"/>
      <c r="F118" s="629"/>
      <c r="G118" s="629"/>
      <c r="H118" s="629"/>
      <c r="I118" s="629"/>
      <c r="J118" s="629"/>
      <c r="K118" s="629"/>
      <c r="L118" s="629"/>
      <c r="M118" s="629"/>
      <c r="N118" s="629"/>
      <c r="O118" s="629"/>
      <c r="P118" s="629"/>
      <c r="Q118" s="629"/>
      <c r="R118" s="630"/>
    </row>
    <row r="119" spans="1:18">
      <c r="A119" s="607"/>
      <c r="B119" s="608"/>
      <c r="C119" s="608"/>
      <c r="D119" s="608"/>
      <c r="E119" s="608"/>
      <c r="F119" s="608"/>
      <c r="G119" s="608"/>
      <c r="H119" s="608"/>
      <c r="I119" s="608"/>
      <c r="J119" s="608"/>
      <c r="K119" s="608"/>
      <c r="L119" s="608"/>
      <c r="M119" s="608"/>
      <c r="N119" s="608"/>
      <c r="O119" s="608"/>
      <c r="P119" s="608"/>
      <c r="Q119" s="608"/>
      <c r="R119" s="609"/>
    </row>
    <row r="120" spans="1:18">
      <c r="A120" s="592" t="s">
        <v>63</v>
      </c>
      <c r="B120" s="593" t="s">
        <v>73</v>
      </c>
      <c r="C120" s="593"/>
      <c r="D120" s="593"/>
      <c r="E120" s="593"/>
      <c r="F120" s="593"/>
      <c r="G120" s="593"/>
      <c r="H120" s="593"/>
      <c r="I120" s="593"/>
      <c r="J120" s="593"/>
      <c r="K120" s="593"/>
      <c r="L120" s="593"/>
      <c r="M120" s="593"/>
      <c r="N120" s="593"/>
      <c r="O120" s="593"/>
      <c r="P120" s="593"/>
      <c r="Q120" s="593"/>
      <c r="R120" s="594"/>
    </row>
    <row r="121" spans="1:18">
      <c r="A121" s="592"/>
      <c r="B121" s="595" t="s">
        <v>70</v>
      </c>
      <c r="C121" s="595"/>
      <c r="D121" s="595"/>
      <c r="E121" s="595"/>
      <c r="F121" s="595"/>
      <c r="G121" s="595"/>
      <c r="H121" s="595"/>
      <c r="I121" s="595"/>
      <c r="J121" s="595"/>
      <c r="K121" s="595"/>
      <c r="L121" s="595"/>
      <c r="M121" s="595"/>
      <c r="N121" s="595"/>
      <c r="O121" s="595"/>
      <c r="P121" s="595"/>
      <c r="Q121" s="595"/>
      <c r="R121" s="633"/>
    </row>
    <row r="122" spans="1:18">
      <c r="A122" s="592"/>
      <c r="B122" s="631" t="s">
        <v>71</v>
      </c>
      <c r="C122" s="631"/>
      <c r="D122" s="631"/>
      <c r="E122" s="632"/>
      <c r="F122" s="228"/>
      <c r="G122" s="618" t="str">
        <f>IF(F122="","",IF(F122=13,"Bravo c'est excat !",IF(OR(AND(F122&gt;=0,F122&lt;13),AND(F122&gt;13,F122&lt;=30)),"Ce n'est pas le bon âge!",IF(AND(F122&gt;30,F122&lt;120),"Un peu âgé pour un jeune frère","Erreur de typologie!"))))</f>
        <v/>
      </c>
      <c r="H122" s="618"/>
      <c r="I122" s="618"/>
      <c r="J122" s="618"/>
      <c r="K122" s="618"/>
      <c r="L122" s="618"/>
      <c r="M122" s="618"/>
      <c r="N122" s="618"/>
      <c r="O122" s="618"/>
      <c r="P122" s="618"/>
      <c r="Q122" s="618"/>
      <c r="R122" s="618"/>
    </row>
    <row r="123" spans="1:18">
      <c r="A123" s="592"/>
      <c r="B123" s="631" t="s">
        <v>72</v>
      </c>
      <c r="C123" s="631"/>
      <c r="D123" s="631"/>
      <c r="E123" s="632"/>
      <c r="F123" s="3"/>
      <c r="G123" s="618" t="str">
        <f>IF(F123="","",IF(F123=6,"Bravo c'est excat !",IF(OR(AND(F123&gt;=0,F123&lt;6),AND(F123&gt;6,F123&lt;=30)),"Ce n'est pas le bon âge!",IF(AND(F123&gt;30,F123&lt;120),"Un peu âgé pour un jeune frère","Erreur de typologie!"))))</f>
        <v/>
      </c>
      <c r="H123" s="618"/>
      <c r="I123" s="618"/>
      <c r="J123" s="618"/>
      <c r="K123" s="618"/>
      <c r="L123" s="618"/>
      <c r="M123" s="618"/>
      <c r="N123" s="618"/>
      <c r="O123" s="618"/>
      <c r="P123" s="618"/>
      <c r="Q123" s="618"/>
      <c r="R123" s="618"/>
    </row>
    <row r="124" spans="1:18">
      <c r="A124" s="592"/>
      <c r="B124" s="631" t="s">
        <v>202</v>
      </c>
      <c r="C124" s="631"/>
      <c r="D124" s="631"/>
      <c r="E124" s="632"/>
      <c r="F124" s="3"/>
      <c r="G124" s="618" t="str">
        <f>IF(F124="","",IF(F124=3,"Bravo c'est excat !",IF(OR(AND(F124&gt;=0,F124&lt;3),AND(F124&gt;3,F124&lt;=30)),"Ce n'est pas le bon âge!",IF(AND(F124&gt;30,F124&lt;120),"Un peu âgé pour un jeune frère","Erreur de typologie!"))))</f>
        <v/>
      </c>
      <c r="H124" s="618"/>
      <c r="I124" s="618"/>
      <c r="J124" s="618"/>
      <c r="K124" s="618"/>
      <c r="L124" s="618"/>
      <c r="M124" s="618"/>
      <c r="N124" s="618"/>
      <c r="O124" s="618"/>
      <c r="P124" s="618"/>
      <c r="Q124" s="618"/>
      <c r="R124" s="618"/>
    </row>
    <row r="125" spans="1:18">
      <c r="A125" s="592"/>
      <c r="B125" s="186"/>
      <c r="C125" s="629" t="str">
        <f>IF(AND(F122="",F123="",F124=""),"",IF(AND(F122=13,F123=6,F124=3),"Bravo !! Quelle réflexion !","Faux continuez de chercher!!"))</f>
        <v/>
      </c>
      <c r="D125" s="629" t="str">
        <f>C125</f>
        <v/>
      </c>
      <c r="E125" s="629"/>
      <c r="F125" s="629"/>
      <c r="G125" s="629"/>
      <c r="H125" s="629"/>
      <c r="I125" s="629"/>
      <c r="J125" s="629"/>
      <c r="K125" s="629"/>
      <c r="L125" s="629"/>
      <c r="M125" s="629"/>
      <c r="N125" s="629"/>
      <c r="O125" s="629"/>
      <c r="P125" s="629"/>
      <c r="Q125" s="629"/>
      <c r="R125" s="630"/>
    </row>
    <row r="126" spans="1:18">
      <c r="A126" s="607"/>
      <c r="B126" s="608"/>
      <c r="C126" s="608"/>
      <c r="D126" s="608"/>
      <c r="E126" s="608"/>
      <c r="F126" s="608"/>
      <c r="G126" s="608"/>
      <c r="H126" s="608"/>
      <c r="I126" s="608"/>
      <c r="J126" s="608"/>
      <c r="K126" s="608"/>
      <c r="L126" s="608"/>
      <c r="M126" s="608"/>
      <c r="N126" s="608"/>
      <c r="O126" s="608"/>
      <c r="P126" s="608"/>
      <c r="Q126" s="608"/>
      <c r="R126" s="609"/>
    </row>
    <row r="127" spans="1:18">
      <c r="A127" s="592" t="s">
        <v>76</v>
      </c>
      <c r="B127" s="593" t="s">
        <v>74</v>
      </c>
      <c r="C127" s="593"/>
      <c r="D127" s="593"/>
      <c r="E127" s="593"/>
      <c r="F127" s="593"/>
      <c r="G127" s="593"/>
      <c r="H127" s="593"/>
      <c r="I127" s="593"/>
      <c r="J127" s="593"/>
      <c r="K127" s="593"/>
      <c r="L127" s="593"/>
      <c r="M127" s="593"/>
      <c r="N127" s="593"/>
      <c r="O127" s="593"/>
      <c r="P127" s="593"/>
      <c r="Q127" s="593"/>
      <c r="R127" s="594"/>
    </row>
    <row r="128" spans="1:18">
      <c r="A128" s="592"/>
      <c r="B128" s="593" t="s">
        <v>75</v>
      </c>
      <c r="C128" s="593"/>
      <c r="D128" s="593"/>
      <c r="E128" s="593"/>
      <c r="F128" s="593"/>
      <c r="G128" s="593"/>
      <c r="H128" s="593"/>
      <c r="I128" s="593"/>
      <c r="J128" s="593"/>
      <c r="K128" s="593"/>
      <c r="L128" s="593"/>
      <c r="M128" s="593"/>
      <c r="N128" s="593"/>
      <c r="O128" s="593"/>
      <c r="P128" s="593"/>
      <c r="Q128" s="593"/>
      <c r="R128" s="594"/>
    </row>
    <row r="129" spans="1:18">
      <c r="A129" s="592"/>
      <c r="B129" s="595" t="s">
        <v>203</v>
      </c>
      <c r="C129" s="595"/>
      <c r="D129" s="595"/>
      <c r="E129" s="622"/>
      <c r="F129" s="228"/>
      <c r="G129" s="618" t="str">
        <f>IF(F129="","(verbe)",IF(F129="connait"," les policiers.",IF(F129="est","à",IF(F129="marche","",""))))</f>
        <v>(verbe)</v>
      </c>
      <c r="H129" s="618"/>
      <c r="I129" s="618"/>
      <c r="J129" s="618"/>
      <c r="K129" s="618"/>
      <c r="L129" s="618"/>
      <c r="M129" s="618"/>
      <c r="N129" s="618"/>
      <c r="O129" s="618"/>
      <c r="P129" s="618"/>
      <c r="Q129" s="618"/>
      <c r="R129" s="618"/>
    </row>
    <row r="130" spans="1:18">
      <c r="A130" s="592"/>
      <c r="B130" s="186"/>
      <c r="C130" s="629" t="str">
        <f>IF(F129="","",IF(F129="connait","Non, ce n'est pas la réponse attendue !!",IF(F129="est","mode ou moyen de 'transport' !",IF(F129="marche","","Ce n'est pas le bon verbe !"))))</f>
        <v/>
      </c>
      <c r="D130" s="629" t="str">
        <f>C130</f>
        <v/>
      </c>
      <c r="E130" s="629"/>
      <c r="F130" s="629"/>
      <c r="G130" s="629"/>
      <c r="H130" s="629"/>
      <c r="I130" s="629"/>
      <c r="J130" s="629"/>
      <c r="K130" s="629"/>
      <c r="L130" s="629"/>
      <c r="M130" s="629"/>
      <c r="N130" s="629"/>
      <c r="O130" s="629"/>
      <c r="P130" s="629"/>
      <c r="Q130" s="629"/>
      <c r="R130" s="630"/>
    </row>
    <row r="131" spans="1:18">
      <c r="A131" s="592"/>
      <c r="B131" s="186"/>
      <c r="C131" s="629" t="str">
        <f>IF(F129="","",IF(OR(F129="marche",AND(F129="est",F130="pied")),"Bravo ! Tous pietons a le droit de remonter une ruelle en sens interdit !","Continues de chercher !"))</f>
        <v/>
      </c>
      <c r="D131" s="629" t="str">
        <f>C131</f>
        <v/>
      </c>
      <c r="E131" s="629"/>
      <c r="F131" s="629"/>
      <c r="G131" s="629"/>
      <c r="H131" s="629"/>
      <c r="I131" s="629"/>
      <c r="J131" s="629"/>
      <c r="K131" s="629"/>
      <c r="L131" s="629"/>
      <c r="M131" s="629"/>
      <c r="N131" s="629"/>
      <c r="O131" s="629"/>
      <c r="P131" s="629"/>
      <c r="Q131" s="629"/>
      <c r="R131" s="630"/>
    </row>
    <row r="132" spans="1:18">
      <c r="A132" s="607"/>
      <c r="B132" s="608"/>
      <c r="C132" s="608"/>
      <c r="D132" s="608"/>
      <c r="E132" s="608"/>
      <c r="F132" s="608"/>
      <c r="G132" s="608"/>
      <c r="H132" s="608"/>
      <c r="I132" s="608"/>
      <c r="J132" s="608"/>
      <c r="K132" s="608"/>
      <c r="L132" s="608"/>
      <c r="M132" s="608"/>
      <c r="N132" s="608"/>
      <c r="O132" s="608"/>
      <c r="P132" s="608"/>
      <c r="Q132" s="608"/>
      <c r="R132" s="609"/>
    </row>
    <row r="133" spans="1:18">
      <c r="A133" s="592" t="s">
        <v>77</v>
      </c>
      <c r="B133" s="595" t="s">
        <v>78</v>
      </c>
      <c r="C133" s="595"/>
      <c r="D133" s="595"/>
      <c r="E133" s="622"/>
      <c r="F133" s="228"/>
      <c r="G133" s="618" t="str">
        <f>IF(F133="","",IF(OR(F133="blanche neige",F133="blanche-neige")," et les","Faux! - Pensez à un Dinsey :D"))</f>
        <v/>
      </c>
      <c r="H133" s="618"/>
      <c r="I133" s="618"/>
      <c r="J133" s="618"/>
      <c r="K133" s="618"/>
      <c r="L133" s="618"/>
      <c r="M133" s="618"/>
      <c r="N133" s="618"/>
      <c r="O133" s="618"/>
      <c r="P133" s="618"/>
      <c r="Q133" s="618"/>
      <c r="R133" s="618"/>
    </row>
    <row r="134" spans="1:18">
      <c r="A134" s="592"/>
      <c r="B134" s="595"/>
      <c r="C134" s="595"/>
      <c r="D134" s="595"/>
      <c r="E134" s="595"/>
      <c r="F134" s="18"/>
      <c r="G134" s="618" t="str">
        <f>IF(G133="","",IF(G133=" et les","(nombre)",""))</f>
        <v/>
      </c>
      <c r="H134" s="618"/>
      <c r="I134" s="618"/>
      <c r="J134" s="618"/>
      <c r="K134" s="618"/>
      <c r="L134" s="618"/>
      <c r="M134" s="618"/>
      <c r="N134" s="618"/>
      <c r="O134" s="618"/>
      <c r="P134" s="618"/>
      <c r="Q134" s="618"/>
      <c r="R134" s="618"/>
    </row>
    <row r="135" spans="1:18">
      <c r="A135" s="592"/>
      <c r="B135" s="595"/>
      <c r="C135" s="595"/>
      <c r="D135" s="595"/>
      <c r="E135" s="595"/>
      <c r="F135" s="18"/>
      <c r="G135" s="618" t="str">
        <f>IF(F135="","",IF(F135="nains","","Faux"))</f>
        <v/>
      </c>
      <c r="H135" s="618"/>
      <c r="I135" s="618"/>
      <c r="J135" s="618"/>
      <c r="K135" s="618"/>
      <c r="L135" s="618"/>
      <c r="M135" s="618"/>
      <c r="N135" s="618"/>
      <c r="O135" s="618"/>
      <c r="P135" s="618"/>
      <c r="Q135" s="618"/>
      <c r="R135" s="618"/>
    </row>
    <row r="136" spans="1:18">
      <c r="A136" s="592"/>
      <c r="B136" s="595"/>
      <c r="C136" s="595"/>
      <c r="D136" s="595"/>
      <c r="E136" s="595"/>
      <c r="F136" s="188" t="str">
        <f>IF(F135="","",IF(AND(OR(F133="blanche-neige",F133="blanche neige"),OR(F134=7,F134="sept"),F135="nains"),"Bravo !!","Faux !!"))</f>
        <v/>
      </c>
      <c r="G136" s="618"/>
      <c r="H136" s="618"/>
      <c r="I136" s="618"/>
      <c r="J136" s="618"/>
      <c r="K136" s="618"/>
      <c r="L136" s="618"/>
      <c r="M136" s="618"/>
      <c r="N136" s="618"/>
      <c r="O136" s="618"/>
      <c r="P136" s="618"/>
      <c r="Q136" s="618"/>
      <c r="R136" s="618"/>
    </row>
    <row r="137" spans="1:18">
      <c r="A137" s="607"/>
      <c r="B137" s="608"/>
      <c r="C137" s="608"/>
      <c r="D137" s="608"/>
      <c r="E137" s="608"/>
      <c r="F137" s="608"/>
      <c r="G137" s="608"/>
      <c r="H137" s="608"/>
      <c r="I137" s="608"/>
      <c r="J137" s="608"/>
      <c r="K137" s="608"/>
      <c r="L137" s="608"/>
      <c r="M137" s="608"/>
      <c r="N137" s="608"/>
      <c r="O137" s="608"/>
      <c r="P137" s="608"/>
      <c r="Q137" s="608"/>
      <c r="R137" s="609"/>
    </row>
    <row r="138" spans="1:18">
      <c r="A138" s="634" t="str">
        <f>IF(F136="","",IF(F136="Bravo !!","As-tu une question ou une remarque ?",""))</f>
        <v/>
      </c>
      <c r="B138" s="635"/>
      <c r="C138" s="635"/>
      <c r="D138" s="635"/>
      <c r="E138" s="635"/>
      <c r="F138" s="19"/>
      <c r="G138" s="618" t="str">
        <f>C140</f>
        <v/>
      </c>
      <c r="H138" s="618"/>
      <c r="I138" s="618"/>
      <c r="J138" s="618"/>
      <c r="K138" s="618"/>
      <c r="L138" s="618"/>
      <c r="M138" s="618"/>
      <c r="N138" s="618"/>
      <c r="O138" s="618"/>
      <c r="P138" s="618"/>
      <c r="Q138" s="618"/>
      <c r="R138" s="618"/>
    </row>
    <row r="139" spans="1:18">
      <c r="A139" s="634" t="str">
        <f>IF(F138="","",IF(AND(F136="bravo !!",F138="oui"),"Est-ce : Pourquoi 13 couilles ? - Pourquoi que 13 !",""))</f>
        <v/>
      </c>
      <c r="B139" s="635"/>
      <c r="C139" s="635"/>
      <c r="D139" s="635"/>
      <c r="E139" s="635"/>
      <c r="F139" s="19"/>
      <c r="G139" s="618"/>
      <c r="H139" s="618"/>
      <c r="I139" s="618"/>
      <c r="J139" s="618"/>
      <c r="K139" s="618"/>
      <c r="L139" s="618"/>
      <c r="M139" s="618"/>
      <c r="N139" s="618"/>
      <c r="O139" s="618"/>
      <c r="P139" s="618"/>
      <c r="Q139" s="618"/>
      <c r="R139" s="618"/>
    </row>
    <row r="140" spans="1:18">
      <c r="A140" s="607"/>
      <c r="B140" s="608"/>
      <c r="C140" s="608" t="str">
        <f>IF(F138="non","Ok! No problème !","")</f>
        <v/>
      </c>
      <c r="D140" s="608"/>
      <c r="E140" s="608"/>
      <c r="F140" s="608"/>
      <c r="G140" s="608"/>
      <c r="H140" s="608"/>
      <c r="I140" s="608"/>
      <c r="J140" s="608"/>
      <c r="K140" s="608"/>
      <c r="L140" s="608"/>
      <c r="M140" s="608"/>
      <c r="N140" s="608"/>
      <c r="O140" s="608"/>
      <c r="P140" s="608"/>
      <c r="Q140" s="608"/>
      <c r="R140" s="609"/>
    </row>
    <row r="141" spans="1:18">
      <c r="A141" s="607"/>
      <c r="B141" s="608"/>
      <c r="C141" s="629" t="str">
        <f>IF(F139="","",IF(AND(F136="bravo !!",F139="oui"),"Et bien tout simplement, Grincheux n'en n'a qu'une sinon il ne serait pas grincheux !",IF(F139="non","Ok! No problème !","")))</f>
        <v/>
      </c>
      <c r="D141" s="629" t="str">
        <f>C141</f>
        <v/>
      </c>
      <c r="E141" s="629"/>
      <c r="F141" s="629"/>
      <c r="G141" s="629"/>
      <c r="H141" s="629"/>
      <c r="I141" s="629"/>
      <c r="J141" s="629"/>
      <c r="K141" s="629"/>
      <c r="L141" s="629"/>
      <c r="M141" s="629"/>
      <c r="N141" s="629"/>
      <c r="O141" s="629"/>
      <c r="P141" s="629"/>
      <c r="Q141" s="629"/>
      <c r="R141" s="630"/>
    </row>
    <row r="142" spans="1:18" ht="15.75" thickBot="1">
      <c r="A142" s="607"/>
      <c r="B142" s="608"/>
      <c r="C142" s="608"/>
      <c r="D142" s="608"/>
      <c r="E142" s="608"/>
      <c r="F142" s="608"/>
      <c r="G142" s="608"/>
      <c r="H142" s="608"/>
      <c r="I142" s="608"/>
      <c r="J142" s="608"/>
      <c r="K142" s="608"/>
      <c r="L142" s="608"/>
      <c r="M142" s="608"/>
      <c r="N142" s="608"/>
      <c r="O142" s="608"/>
      <c r="P142" s="608"/>
      <c r="Q142" s="608"/>
      <c r="R142" s="609"/>
    </row>
    <row r="143" spans="1:18">
      <c r="A143" s="592" t="s">
        <v>79</v>
      </c>
      <c r="B143" s="595" t="s">
        <v>80</v>
      </c>
      <c r="C143" s="595"/>
      <c r="D143" s="595"/>
      <c r="E143" s="595"/>
      <c r="F143" s="595"/>
      <c r="G143" s="595"/>
      <c r="H143" s="595"/>
      <c r="I143" s="170"/>
      <c r="J143" s="171"/>
      <c r="K143" s="172"/>
      <c r="L143" s="171"/>
      <c r="M143" s="173"/>
      <c r="N143" s="615" t="s">
        <v>197</v>
      </c>
      <c r="O143" s="616"/>
      <c r="P143" s="616"/>
      <c r="Q143" s="616"/>
      <c r="R143" s="617"/>
    </row>
    <row r="144" spans="1:18">
      <c r="A144" s="592"/>
      <c r="B144" s="593" t="s">
        <v>200</v>
      </c>
      <c r="C144" s="593"/>
      <c r="D144" s="593"/>
      <c r="E144" s="593"/>
      <c r="F144" s="593"/>
      <c r="G144" s="593"/>
      <c r="H144" s="593"/>
      <c r="I144" s="174"/>
      <c r="J144" s="6"/>
      <c r="K144" s="6"/>
      <c r="L144" s="6"/>
      <c r="M144" s="175"/>
      <c r="N144" s="615"/>
      <c r="O144" s="616"/>
      <c r="P144" s="616"/>
      <c r="Q144" s="616"/>
      <c r="R144" s="617"/>
    </row>
    <row r="145" spans="1:18">
      <c r="A145" s="592"/>
      <c r="B145" s="593" t="s">
        <v>201</v>
      </c>
      <c r="C145" s="593"/>
      <c r="D145" s="593"/>
      <c r="E145" s="593"/>
      <c r="F145" s="593"/>
      <c r="G145" s="593"/>
      <c r="H145" s="593"/>
      <c r="I145" s="176"/>
      <c r="J145" s="6"/>
      <c r="K145" s="5"/>
      <c r="L145" s="6"/>
      <c r="M145" s="177"/>
      <c r="N145" s="615"/>
      <c r="O145" s="616"/>
      <c r="P145" s="616"/>
      <c r="Q145" s="616"/>
      <c r="R145" s="617"/>
    </row>
    <row r="146" spans="1:18">
      <c r="A146" s="592"/>
      <c r="B146" s="619"/>
      <c r="C146" s="619"/>
      <c r="D146" s="619"/>
      <c r="E146" s="619"/>
      <c r="F146" s="619"/>
      <c r="G146" s="619"/>
      <c r="H146" s="624"/>
      <c r="I146" s="174"/>
      <c r="J146" s="6"/>
      <c r="K146" s="6"/>
      <c r="L146" s="6"/>
      <c r="M146" s="175"/>
      <c r="N146" s="615"/>
      <c r="O146" s="616"/>
      <c r="P146" s="616"/>
      <c r="Q146" s="616"/>
      <c r="R146" s="617"/>
    </row>
    <row r="147" spans="1:18" ht="15.75" thickBot="1">
      <c r="A147" s="592"/>
      <c r="B147" s="614"/>
      <c r="C147" s="619" t="str">
        <f>IF(OR($I$148="",$I$148="Regardez bien où vous avez placé vos pions !"),"",IF(I$148="Félicitations !","Pour revoir votre solution &gt; ","Pour voir une autre solution &gt;"))</f>
        <v/>
      </c>
      <c r="D147" s="619"/>
      <c r="E147" s="619"/>
      <c r="F147" s="189" t="str">
        <f>IF($I$148="","",IF(C147&lt;&gt;"","Cliquez ici",""))</f>
        <v/>
      </c>
      <c r="G147" s="612"/>
      <c r="H147" s="613"/>
      <c r="I147" s="178"/>
      <c r="J147" s="179"/>
      <c r="K147" s="180"/>
      <c r="L147" s="179"/>
      <c r="M147" s="181"/>
      <c r="N147" s="615"/>
      <c r="O147" s="616"/>
      <c r="P147" s="616"/>
      <c r="Q147" s="616"/>
      <c r="R147" s="617"/>
    </row>
    <row r="148" spans="1:18">
      <c r="A148" s="592"/>
      <c r="B148" s="614"/>
      <c r="C148" s="619" t="str">
        <f>IF(OR($I$148="",$I$148="Regardez bien où vous avez placé vos pions !"),"",IF(I$148="Félicitations !!","Pour revoir votre solution &gt; ","Pour voir une autre solution &gt;"))</f>
        <v/>
      </c>
      <c r="D148" s="619"/>
      <c r="E148" s="619"/>
      <c r="F148" s="189" t="str">
        <f>IF($I$148="","",IF(C148&lt;&gt;"","Cliquez ici",""))</f>
        <v/>
      </c>
      <c r="G148" s="612"/>
      <c r="H148" s="612"/>
      <c r="I148" s="627" t="str">
        <f>IF(AND(I143="",J143="",K143="",L143="",M143="",I144="",J144="",K144="",L144="",M144="",I145="",J145="",K145="",L145="",M145="",I146="",J146="",K146="",L146="",M146="",I147="",J147="",K147="",L147="",M147=""),"",IF(AND(K145="r",J143="t",I144="t",L147="t",M146="t"),"Félicitations !",IF(AND(K145="r",L143="t",M144="t",I146="t",J147="t"),"Félicitations !!",IF(AND(K145="r",J143="t",M144="t",I146="t",L147="t"),"Félicitations !!!",IF(AND(K145="r",I144="t",L143="t",J147="t",M146="t"),"Félicitations !!!!","Regardez bien où vous avez placé vos pions !")))))</f>
        <v/>
      </c>
      <c r="J148" s="627"/>
      <c r="K148" s="627"/>
      <c r="L148" s="627"/>
      <c r="M148" s="627"/>
      <c r="N148" s="627"/>
      <c r="O148" s="627"/>
      <c r="P148" s="627"/>
      <c r="Q148" s="627"/>
      <c r="R148" s="627"/>
    </row>
    <row r="149" spans="1:18">
      <c r="A149" s="592"/>
      <c r="B149" s="614"/>
      <c r="C149" s="619" t="str">
        <f>IF(OR($I$148="",$I$148="Regardez bien où vous avez placé vos pions !"),"",IF(I$148="Félicitations !!!","Pour revoir votre solution &gt; ","Pour voir une autre solution &gt;"))</f>
        <v/>
      </c>
      <c r="D149" s="619"/>
      <c r="E149" s="619"/>
      <c r="F149" s="189" t="str">
        <f>IF($I$148="","",IF(C149&lt;&gt;"","Cliquez ici",""))</f>
        <v/>
      </c>
      <c r="G149" s="612"/>
      <c r="H149" s="612"/>
      <c r="I149" s="627"/>
      <c r="J149" s="627"/>
      <c r="K149" s="627"/>
      <c r="L149" s="627"/>
      <c r="M149" s="627"/>
      <c r="N149" s="627"/>
      <c r="O149" s="627"/>
      <c r="P149" s="627"/>
      <c r="Q149" s="627"/>
      <c r="R149" s="627"/>
    </row>
    <row r="150" spans="1:18">
      <c r="A150" s="592"/>
      <c r="B150" s="614"/>
      <c r="C150" s="619" t="str">
        <f>IF(OR($I$148="",$I$148="Regardez bien où vous avez placé vos pions !"),"",IF(I$148="Félicitations !!!!","Pour revoir votre solution &gt; ","Pour voir une autre solution &gt;"))</f>
        <v/>
      </c>
      <c r="D150" s="619"/>
      <c r="E150" s="619"/>
      <c r="F150" s="189" t="str">
        <f>IF($I$148="","",IF(C150&lt;&gt;"","Cliquez ici",""))</f>
        <v/>
      </c>
      <c r="G150" s="612"/>
      <c r="H150" s="612"/>
      <c r="I150" s="627"/>
      <c r="J150" s="627"/>
      <c r="K150" s="627"/>
      <c r="L150" s="627"/>
      <c r="M150" s="627"/>
      <c r="N150" s="627"/>
      <c r="O150" s="627"/>
      <c r="P150" s="627"/>
      <c r="Q150" s="627"/>
      <c r="R150" s="627"/>
    </row>
    <row r="151" spans="1:18">
      <c r="A151" s="592"/>
      <c r="B151" s="614"/>
      <c r="C151" s="625" t="str">
        <f>IF(AND($I$148&lt;&gt;"",$I$148&lt;&gt;"Regardez bien où vous avez placé vos pions !"),"Le symbole '+' pour les déplacements possibles des Tours, le symbole '-' pour ceux du Roi, et le symbole '±' pour les intersections des deux !","")</f>
        <v/>
      </c>
      <c r="D151" s="625"/>
      <c r="E151" s="625"/>
      <c r="F151" s="625"/>
      <c r="G151" s="625"/>
      <c r="H151" s="625"/>
      <c r="I151" s="625"/>
      <c r="J151" s="625"/>
      <c r="K151" s="625"/>
      <c r="L151" s="625"/>
      <c r="M151" s="625"/>
      <c r="N151" s="625"/>
      <c r="O151" s="625"/>
      <c r="P151" s="625"/>
      <c r="Q151" s="625"/>
      <c r="R151" s="626"/>
    </row>
    <row r="152" spans="1:18" s="451" customFormat="1">
      <c r="A152" s="592"/>
      <c r="B152" s="614"/>
      <c r="C152" s="628" t="str">
        <f>IF(AND($I$148&lt;&gt;"",$I$148&lt;&gt;"Regardez bien où vous avez placé vos pions !"),"On remarque que toutes les positions possibles du Roi (les '-') sont sur un des déplacements possibles des Tours (les '+'), d'où la mise en échec du Roi !!","")</f>
        <v/>
      </c>
      <c r="D152" s="628"/>
      <c r="E152" s="628"/>
      <c r="F152" s="628"/>
      <c r="G152" s="628"/>
      <c r="H152" s="628"/>
      <c r="I152" s="628"/>
      <c r="J152" s="628"/>
      <c r="K152" s="628"/>
      <c r="L152" s="628"/>
      <c r="M152" s="628"/>
      <c r="N152" s="628"/>
      <c r="O152" s="628"/>
      <c r="P152" s="628"/>
      <c r="Q152" s="628"/>
      <c r="R152" s="628"/>
    </row>
    <row r="153" spans="1:18">
      <c r="A153" s="607"/>
      <c r="B153" s="608"/>
      <c r="C153" s="608"/>
      <c r="D153" s="608"/>
      <c r="E153" s="608"/>
      <c r="F153" s="608"/>
      <c r="G153" s="608"/>
      <c r="H153" s="608"/>
      <c r="I153" s="608"/>
      <c r="J153" s="608"/>
      <c r="K153" s="608"/>
      <c r="L153" s="608"/>
      <c r="M153" s="608"/>
      <c r="N153" s="608"/>
      <c r="O153" s="608"/>
      <c r="P153" s="608"/>
      <c r="Q153" s="608"/>
      <c r="R153" s="609"/>
    </row>
    <row r="154" spans="1:18">
      <c r="A154" s="592" t="s">
        <v>81</v>
      </c>
      <c r="B154" s="593" t="s">
        <v>82</v>
      </c>
      <c r="C154" s="593"/>
      <c r="D154" s="593"/>
      <c r="E154" s="593"/>
      <c r="F154" s="593"/>
      <c r="G154" s="593"/>
      <c r="H154" s="593"/>
      <c r="I154" s="593"/>
      <c r="J154" s="593"/>
      <c r="K154" s="593"/>
      <c r="L154" s="593"/>
      <c r="M154" s="593"/>
      <c r="N154" s="593"/>
      <c r="O154" s="593"/>
      <c r="P154" s="593"/>
      <c r="Q154" s="593"/>
      <c r="R154" s="594"/>
    </row>
    <row r="155" spans="1:18">
      <c r="A155" s="592"/>
      <c r="B155" s="595" t="s">
        <v>83</v>
      </c>
      <c r="C155" s="595"/>
      <c r="D155" s="595"/>
      <c r="E155" s="595"/>
      <c r="F155" s="228"/>
      <c r="G155" s="618"/>
      <c r="H155" s="618"/>
      <c r="I155" s="618"/>
      <c r="J155" s="618"/>
      <c r="K155" s="618"/>
      <c r="L155" s="618"/>
      <c r="M155" s="618"/>
      <c r="N155" s="618"/>
      <c r="O155" s="618"/>
      <c r="P155" s="618"/>
      <c r="Q155" s="618"/>
      <c r="R155" s="618"/>
    </row>
    <row r="156" spans="1:18">
      <c r="A156" s="592"/>
      <c r="B156" s="190"/>
      <c r="C156" s="610" t="str">
        <f>IF(F155="","",IF(F155="Maryse","Bravo !!",IF(F155="Chuchu","Trop facile !! Pff Réfléchis un peu ..!","Pff Réfléchis un peu ..!")))</f>
        <v/>
      </c>
      <c r="D156" s="610"/>
      <c r="E156" s="610"/>
      <c r="F156" s="610"/>
      <c r="G156" s="610"/>
      <c r="H156" s="610"/>
      <c r="I156" s="610"/>
      <c r="J156" s="610"/>
      <c r="K156" s="610"/>
      <c r="L156" s="610"/>
      <c r="M156" s="610"/>
      <c r="N156" s="610"/>
      <c r="O156" s="610"/>
      <c r="P156" s="610"/>
      <c r="Q156" s="610"/>
      <c r="R156" s="611"/>
    </row>
    <row r="157" spans="1:18">
      <c r="A157" s="607"/>
      <c r="B157" s="608"/>
      <c r="C157" s="608"/>
      <c r="D157" s="608"/>
      <c r="E157" s="608"/>
      <c r="F157" s="608"/>
      <c r="G157" s="608"/>
      <c r="H157" s="608"/>
      <c r="I157" s="608"/>
      <c r="J157" s="608"/>
      <c r="K157" s="608"/>
      <c r="L157" s="608"/>
      <c r="M157" s="608"/>
      <c r="N157" s="608"/>
      <c r="O157" s="608"/>
      <c r="P157" s="608"/>
      <c r="Q157" s="608"/>
      <c r="R157" s="609"/>
    </row>
    <row r="158" spans="1:18">
      <c r="A158" s="592" t="s">
        <v>84</v>
      </c>
      <c r="B158" s="593" t="s">
        <v>85</v>
      </c>
      <c r="C158" s="593"/>
      <c r="D158" s="593"/>
      <c r="E158" s="593"/>
      <c r="F158" s="593"/>
      <c r="G158" s="593"/>
      <c r="H158" s="593"/>
      <c r="I158" s="593"/>
      <c r="J158" s="593"/>
      <c r="K158" s="593"/>
      <c r="L158" s="593"/>
      <c r="M158" s="593"/>
      <c r="N158" s="593"/>
      <c r="O158" s="593"/>
      <c r="P158" s="593"/>
      <c r="Q158" s="593"/>
      <c r="R158" s="594"/>
    </row>
    <row r="159" spans="1:18">
      <c r="A159" s="592"/>
      <c r="B159" s="595" t="s">
        <v>86</v>
      </c>
      <c r="C159" s="595"/>
      <c r="D159" s="595"/>
      <c r="E159" s="595"/>
      <c r="F159" s="228"/>
      <c r="G159" s="618"/>
      <c r="H159" s="618"/>
      <c r="I159" s="618"/>
      <c r="J159" s="618"/>
      <c r="K159" s="618"/>
      <c r="L159" s="618"/>
      <c r="M159" s="618"/>
      <c r="N159" s="618"/>
      <c r="O159" s="618"/>
      <c r="P159" s="618"/>
      <c r="Q159" s="618"/>
      <c r="R159" s="618"/>
    </row>
    <row r="160" spans="1:18">
      <c r="A160" s="592"/>
      <c r="B160" s="186"/>
      <c r="C160" s="610" t="str">
        <f>IF(F159="","",IF(OR(F159="bleu",F159="bleus"),"Bravo !!",IF(OR(F159="verts",F159="vert",F159="marron",F159="marrons"),"Trop facile !! Pff Réfléchis un peu ..!","Pff Réfléchis un peu ..!")))</f>
        <v/>
      </c>
      <c r="D160" s="610" t="str">
        <f>C160</f>
        <v/>
      </c>
      <c r="E160" s="610"/>
      <c r="F160" s="610"/>
      <c r="G160" s="610"/>
      <c r="H160" s="610"/>
      <c r="I160" s="610"/>
      <c r="J160" s="610"/>
      <c r="K160" s="610"/>
      <c r="L160" s="610"/>
      <c r="M160" s="610"/>
      <c r="N160" s="610"/>
      <c r="O160" s="610"/>
      <c r="P160" s="610"/>
      <c r="Q160" s="610"/>
      <c r="R160" s="611"/>
    </row>
    <row r="161" spans="1:18">
      <c r="A161" s="607"/>
      <c r="B161" s="608"/>
      <c r="C161" s="608"/>
      <c r="D161" s="608"/>
      <c r="E161" s="608"/>
      <c r="F161" s="608"/>
      <c r="G161" s="608"/>
      <c r="H161" s="608"/>
      <c r="I161" s="608"/>
      <c r="J161" s="608"/>
      <c r="K161" s="608"/>
      <c r="L161" s="608"/>
      <c r="M161" s="608"/>
      <c r="N161" s="608"/>
      <c r="O161" s="608"/>
      <c r="P161" s="608"/>
      <c r="Q161" s="608"/>
      <c r="R161" s="609"/>
    </row>
    <row r="162" spans="1:18">
      <c r="A162" s="592" t="s">
        <v>88</v>
      </c>
      <c r="B162" s="593" t="s">
        <v>89</v>
      </c>
      <c r="C162" s="593"/>
      <c r="D162" s="593"/>
      <c r="E162" s="593"/>
      <c r="F162" s="593"/>
      <c r="G162" s="593"/>
      <c r="H162" s="593"/>
      <c r="I162" s="593"/>
      <c r="J162" s="593"/>
      <c r="K162" s="593"/>
      <c r="L162" s="593"/>
      <c r="M162" s="593"/>
      <c r="N162" s="593"/>
      <c r="O162" s="593"/>
      <c r="P162" s="593"/>
      <c r="Q162" s="593"/>
      <c r="R162" s="594"/>
    </row>
    <row r="163" spans="1:18">
      <c r="A163" s="592"/>
      <c r="B163" s="595" t="s">
        <v>26</v>
      </c>
      <c r="C163" s="595"/>
      <c r="D163" s="595"/>
      <c r="E163" s="191" t="s">
        <v>67</v>
      </c>
      <c r="F163" s="228"/>
      <c r="G163" s="210"/>
      <c r="H163" s="211"/>
      <c r="I163" s="211"/>
      <c r="J163" s="211"/>
      <c r="K163" s="211"/>
      <c r="L163" s="211"/>
      <c r="M163" s="211"/>
      <c r="N163" s="211"/>
      <c r="O163" s="211"/>
      <c r="P163" s="211"/>
      <c r="Q163" s="211"/>
      <c r="R163" s="211"/>
    </row>
    <row r="164" spans="1:18">
      <c r="A164" s="592"/>
      <c r="B164" s="186"/>
      <c r="C164" s="610" t="str">
        <f>IF(F163="","",IF(F163="enveloppe","Wouaah quelle logique !!","Faux !!"))</f>
        <v/>
      </c>
      <c r="D164" s="610" t="str">
        <f>C164</f>
        <v/>
      </c>
      <c r="E164" s="610"/>
      <c r="F164" s="610"/>
      <c r="G164" s="610"/>
      <c r="H164" s="610"/>
      <c r="I164" s="610"/>
      <c r="J164" s="610"/>
      <c r="K164" s="610"/>
      <c r="L164" s="610"/>
      <c r="M164" s="610"/>
      <c r="N164" s="610"/>
      <c r="O164" s="610"/>
      <c r="P164" s="610"/>
      <c r="Q164" s="610"/>
      <c r="R164" s="611"/>
    </row>
    <row r="165" spans="1:18" ht="14.25" customHeight="1">
      <c r="A165" s="607"/>
      <c r="B165" s="608"/>
      <c r="C165" s="608"/>
      <c r="D165" s="608"/>
      <c r="E165" s="608"/>
      <c r="F165" s="608"/>
      <c r="G165" s="608"/>
      <c r="H165" s="608"/>
      <c r="I165" s="608"/>
      <c r="J165" s="608"/>
      <c r="K165" s="608"/>
      <c r="L165" s="608"/>
      <c r="M165" s="608"/>
      <c r="N165" s="608"/>
      <c r="O165" s="608"/>
      <c r="P165" s="608"/>
      <c r="Q165" s="608"/>
      <c r="R165" s="609"/>
    </row>
    <row r="166" spans="1:18">
      <c r="A166" s="592" t="s">
        <v>178</v>
      </c>
      <c r="B166" s="593" t="s">
        <v>180</v>
      </c>
      <c r="C166" s="593"/>
      <c r="D166" s="593"/>
      <c r="E166" s="593"/>
      <c r="F166" s="600" t="str">
        <f>IF(G168&lt;&gt;"","",IF(OR(F163="enveloppe",F168&lt;&gt;""),"BONUS à débloquer !!! -- BONUS à débloquer !!! -- BONUS à débloquer !!!",""))</f>
        <v/>
      </c>
      <c r="G166" s="600"/>
      <c r="H166" s="600"/>
      <c r="I166" s="600"/>
      <c r="J166" s="600"/>
      <c r="K166" s="600"/>
      <c r="L166" s="600"/>
      <c r="M166" s="600"/>
      <c r="N166" s="600"/>
      <c r="O166" s="600"/>
      <c r="P166" s="600"/>
      <c r="Q166" s="600"/>
      <c r="R166" s="601"/>
    </row>
    <row r="167" spans="1:18">
      <c r="A167" s="592"/>
      <c r="B167" s="593" t="s">
        <v>179</v>
      </c>
      <c r="C167" s="593"/>
      <c r="D167" s="593"/>
      <c r="E167" s="593"/>
      <c r="F167" s="593"/>
      <c r="G167" s="593"/>
      <c r="H167" s="593"/>
      <c r="I167" s="593"/>
      <c r="J167" s="593"/>
      <c r="K167" s="593"/>
      <c r="L167" s="593"/>
      <c r="M167" s="593"/>
      <c r="N167" s="593"/>
      <c r="O167" s="593"/>
      <c r="P167" s="593"/>
      <c r="Q167" s="593"/>
      <c r="R167" s="594"/>
    </row>
    <row r="168" spans="1:18">
      <c r="A168" s="592"/>
      <c r="B168" s="595" t="s">
        <v>181</v>
      </c>
      <c r="C168" s="595"/>
      <c r="D168" s="595"/>
      <c r="E168" s="191" t="s">
        <v>193</v>
      </c>
      <c r="F168" s="228"/>
      <c r="G168" s="614" t="str">
        <f>IF(OR(PESEE!L2="OUI",OR(F168="frere",F168="frère",F168="FRERE",F168="FRÈRE")),"Bravo !! Bonus débloqué, pour y accéder cliquez ICI","")</f>
        <v/>
      </c>
      <c r="H168" s="614"/>
      <c r="I168" s="614"/>
      <c r="J168" s="614"/>
      <c r="K168" s="614"/>
      <c r="L168" s="614"/>
      <c r="M168" s="614"/>
      <c r="N168" s="614"/>
      <c r="O168" s="614"/>
      <c r="P168" s="614"/>
      <c r="Q168" s="614"/>
      <c r="R168" s="614"/>
    </row>
    <row r="169" spans="1:18">
      <c r="A169" s="592"/>
      <c r="B169" s="192"/>
      <c r="C169" s="620" t="str">
        <f>IF(G168="Bravo !! Bonus débloqué, pour y accéder cliquez ICI","Bravo ! Elles sont fère et sœur !!",IF(F168="","",IF(OR(F168="frère",F168="frere"),"Bravo ! Elles sont fère et sœur !!",IF(OR(F168="bonne sœur",F168="bonne-sœur"),"Euhh pas du tout !!","Elles sont de la même famille !"))))</f>
        <v/>
      </c>
      <c r="D169" s="620"/>
      <c r="E169" s="620"/>
      <c r="F169" s="620"/>
      <c r="G169" s="620"/>
      <c r="H169" s="620"/>
      <c r="I169" s="620"/>
      <c r="J169" s="620"/>
      <c r="K169" s="620"/>
      <c r="L169" s="620"/>
      <c r="M169" s="620"/>
      <c r="N169" s="620"/>
      <c r="O169" s="620"/>
      <c r="P169" s="620"/>
      <c r="Q169" s="620"/>
      <c r="R169" s="621"/>
    </row>
    <row r="170" spans="1:18">
      <c r="A170" s="607"/>
      <c r="B170" s="608"/>
      <c r="C170" s="608"/>
      <c r="D170" s="608"/>
      <c r="E170" s="608"/>
      <c r="F170" s="608"/>
      <c r="G170" s="608"/>
      <c r="H170" s="608"/>
      <c r="I170" s="608"/>
      <c r="J170" s="608"/>
      <c r="K170" s="608"/>
      <c r="L170" s="608"/>
      <c r="M170" s="608"/>
      <c r="N170" s="608"/>
      <c r="O170" s="608"/>
      <c r="P170" s="608"/>
      <c r="Q170" s="608"/>
      <c r="R170" s="609"/>
    </row>
    <row r="171" spans="1:18">
      <c r="A171" s="592" t="s">
        <v>182</v>
      </c>
      <c r="B171" s="593" t="s">
        <v>183</v>
      </c>
      <c r="C171" s="593"/>
      <c r="D171" s="593"/>
      <c r="E171" s="593"/>
      <c r="F171" s="593"/>
      <c r="G171" s="593"/>
      <c r="H171" s="593"/>
      <c r="I171" s="593"/>
      <c r="J171" s="593"/>
      <c r="K171" s="593"/>
      <c r="L171" s="593"/>
      <c r="M171" s="593"/>
      <c r="N171" s="593"/>
      <c r="O171" s="593"/>
      <c r="P171" s="593"/>
      <c r="Q171" s="593"/>
      <c r="R171" s="594"/>
    </row>
    <row r="172" spans="1:18">
      <c r="A172" s="592"/>
      <c r="B172" s="595" t="s">
        <v>26</v>
      </c>
      <c r="C172" s="595"/>
      <c r="D172" s="595"/>
      <c r="E172" s="622"/>
      <c r="F172" s="228"/>
      <c r="G172" s="618"/>
      <c r="H172" s="618"/>
      <c r="I172" s="618"/>
      <c r="J172" s="618"/>
      <c r="K172" s="618"/>
      <c r="L172" s="618"/>
      <c r="M172" s="618"/>
      <c r="N172" s="618"/>
      <c r="O172" s="618"/>
      <c r="P172" s="618"/>
      <c r="Q172" s="618"/>
      <c r="R172" s="618"/>
    </row>
    <row r="173" spans="1:18">
      <c r="A173" s="592"/>
      <c r="B173" s="192"/>
      <c r="C173" s="620" t="str">
        <f>IF(F172="","",IF(F172="r","Bravo ! Il s'agit en effet de la lettre 'R' !",IF(F172&lt;&gt;"r","La réponse est ou n'est pas dans les 4 élèments")))</f>
        <v/>
      </c>
      <c r="D173" s="620"/>
      <c r="E173" s="620"/>
      <c r="F173" s="620"/>
      <c r="G173" s="620"/>
      <c r="H173" s="620"/>
      <c r="I173" s="620"/>
      <c r="J173" s="620"/>
      <c r="K173" s="620"/>
      <c r="L173" s="620"/>
      <c r="M173" s="620"/>
      <c r="N173" s="620"/>
      <c r="O173" s="620"/>
      <c r="P173" s="620"/>
      <c r="Q173" s="620"/>
      <c r="R173" s="621"/>
    </row>
    <row r="174" spans="1:18">
      <c r="A174" s="607"/>
      <c r="B174" s="608"/>
      <c r="C174" s="608"/>
      <c r="D174" s="608"/>
      <c r="E174" s="608"/>
      <c r="F174" s="608"/>
      <c r="G174" s="608"/>
      <c r="H174" s="608"/>
      <c r="I174" s="608"/>
      <c r="J174" s="608"/>
      <c r="K174" s="608"/>
      <c r="L174" s="608"/>
      <c r="M174" s="608"/>
      <c r="N174" s="608"/>
      <c r="O174" s="608"/>
      <c r="P174" s="608"/>
      <c r="Q174" s="608"/>
      <c r="R174" s="609"/>
    </row>
    <row r="175" spans="1:18">
      <c r="A175" s="592" t="s">
        <v>184</v>
      </c>
      <c r="B175" s="593" t="s">
        <v>185</v>
      </c>
      <c r="C175" s="593"/>
      <c r="D175" s="593"/>
      <c r="E175" s="593"/>
      <c r="F175" s="593"/>
      <c r="G175" s="593"/>
      <c r="H175" s="593"/>
      <c r="I175" s="593"/>
      <c r="J175" s="593"/>
      <c r="K175" s="593"/>
      <c r="L175" s="593"/>
      <c r="M175" s="593"/>
      <c r="N175" s="593"/>
      <c r="O175" s="593"/>
      <c r="P175" s="593"/>
      <c r="Q175" s="593"/>
      <c r="R175" s="594"/>
    </row>
    <row r="176" spans="1:18">
      <c r="A176" s="592"/>
      <c r="B176" s="595" t="s">
        <v>26</v>
      </c>
      <c r="C176" s="595"/>
      <c r="D176" s="595"/>
      <c r="E176" s="191" t="s">
        <v>193</v>
      </c>
      <c r="F176" s="228"/>
      <c r="G176" s="618"/>
      <c r="H176" s="618"/>
      <c r="I176" s="618"/>
      <c r="J176" s="618"/>
      <c r="K176" s="618"/>
      <c r="L176" s="618"/>
      <c r="M176" s="618"/>
      <c r="N176" s="618"/>
      <c r="O176" s="618"/>
      <c r="P176" s="618"/>
      <c r="Q176" s="618"/>
      <c r="R176" s="618"/>
    </row>
    <row r="177" spans="1:18">
      <c r="A177" s="592"/>
      <c r="B177" s="192"/>
      <c r="C177" s="648" t="str">
        <f>IF(F176="","",IF(OR(F176="père",F176="pere"),"Bravo ! Il s'agit du père de Vincent !","Il ne faut pas allez chercher bien loin… Elles sont de la même famille !"))</f>
        <v/>
      </c>
      <c r="D177" s="648"/>
      <c r="E177" s="648"/>
      <c r="F177" s="648"/>
      <c r="G177" s="648"/>
      <c r="H177" s="648"/>
      <c r="I177" s="648"/>
      <c r="J177" s="648"/>
      <c r="K177" s="648"/>
      <c r="L177" s="648"/>
      <c r="M177" s="648"/>
      <c r="N177" s="648"/>
      <c r="O177" s="648"/>
      <c r="P177" s="648"/>
      <c r="Q177" s="648"/>
      <c r="R177" s="649"/>
    </row>
    <row r="178" spans="1:18">
      <c r="A178" s="607"/>
      <c r="B178" s="608"/>
      <c r="C178" s="608"/>
      <c r="D178" s="608"/>
      <c r="E178" s="608"/>
      <c r="F178" s="608"/>
      <c r="G178" s="608"/>
      <c r="H178" s="608"/>
      <c r="I178" s="608"/>
      <c r="J178" s="608"/>
      <c r="K178" s="608"/>
      <c r="L178" s="608"/>
      <c r="M178" s="608"/>
      <c r="N178" s="608"/>
      <c r="O178" s="608"/>
      <c r="P178" s="608"/>
      <c r="Q178" s="608"/>
      <c r="R178" s="609"/>
    </row>
    <row r="179" spans="1:18">
      <c r="A179" s="592" t="s">
        <v>186</v>
      </c>
      <c r="B179" s="593" t="s">
        <v>187</v>
      </c>
      <c r="C179" s="593"/>
      <c r="D179" s="593"/>
      <c r="E179" s="593"/>
      <c r="F179" s="593"/>
      <c r="G179" s="593"/>
      <c r="H179" s="593"/>
      <c r="I179" s="593"/>
      <c r="J179" s="593"/>
      <c r="K179" s="593"/>
      <c r="L179" s="593"/>
      <c r="M179" s="593"/>
      <c r="N179" s="593"/>
      <c r="O179" s="593"/>
      <c r="P179" s="593"/>
      <c r="Q179" s="593"/>
      <c r="R179" s="594"/>
    </row>
    <row r="180" spans="1:18">
      <c r="A180" s="592"/>
      <c r="B180" s="593" t="s">
        <v>188</v>
      </c>
      <c r="C180" s="593"/>
      <c r="D180" s="593"/>
      <c r="E180" s="593"/>
      <c r="F180" s="593"/>
      <c r="G180" s="593"/>
      <c r="H180" s="593"/>
      <c r="I180" s="593"/>
      <c r="J180" s="593"/>
      <c r="K180" s="593"/>
      <c r="L180" s="593"/>
      <c r="M180" s="593"/>
      <c r="N180" s="593"/>
      <c r="O180" s="593"/>
      <c r="P180" s="593"/>
      <c r="Q180" s="593"/>
      <c r="R180" s="594"/>
    </row>
    <row r="181" spans="1:18">
      <c r="A181" s="592"/>
      <c r="B181" s="593" t="s">
        <v>196</v>
      </c>
      <c r="C181" s="593"/>
      <c r="D181" s="593"/>
      <c r="E181" s="593"/>
      <c r="F181" s="593"/>
      <c r="G181" s="593"/>
      <c r="H181" s="593"/>
      <c r="I181" s="593"/>
      <c r="J181" s="593"/>
      <c r="K181" s="593"/>
      <c r="L181" s="593"/>
      <c r="M181" s="593"/>
      <c r="N181" s="593"/>
      <c r="O181" s="593"/>
      <c r="P181" s="593"/>
      <c r="Q181" s="593"/>
      <c r="R181" s="594"/>
    </row>
    <row r="182" spans="1:18">
      <c r="A182" s="592"/>
      <c r="B182" s="595" t="s">
        <v>26</v>
      </c>
      <c r="C182" s="595"/>
      <c r="D182" s="595"/>
      <c r="E182" s="191" t="s">
        <v>67</v>
      </c>
      <c r="F182" s="228"/>
      <c r="G182" s="618"/>
      <c r="H182" s="618"/>
      <c r="I182" s="618"/>
      <c r="J182" s="618"/>
      <c r="K182" s="618"/>
      <c r="L182" s="618"/>
      <c r="M182" s="618"/>
      <c r="N182" s="618"/>
      <c r="O182" s="618"/>
      <c r="P182" s="618"/>
      <c r="Q182" s="618"/>
      <c r="R182" s="618"/>
    </row>
    <row r="183" spans="1:18">
      <c r="A183" s="592"/>
      <c r="B183" s="192"/>
      <c r="C183" s="648" t="str">
        <f>IF(F182="","",IF(OR(F182="clé",F182="cle",F182="clef"),"Bravo ! Il s'agit d'une clé à dents entrant dans une sérrure d'une porte afin de la fermer ou l'ouvrir !","Indice : La serrure est le mécanisme … si ça ce n'est pas de l'aide..."))</f>
        <v/>
      </c>
      <c r="D183" s="648"/>
      <c r="E183" s="648"/>
      <c r="F183" s="648"/>
      <c r="G183" s="648"/>
      <c r="H183" s="648"/>
      <c r="I183" s="648"/>
      <c r="J183" s="648"/>
      <c r="K183" s="648"/>
      <c r="L183" s="648"/>
      <c r="M183" s="648"/>
      <c r="N183" s="648"/>
      <c r="O183" s="648"/>
      <c r="P183" s="648"/>
      <c r="Q183" s="648"/>
      <c r="R183" s="649"/>
    </row>
    <row r="184" spans="1:18">
      <c r="A184" s="607"/>
      <c r="B184" s="608"/>
      <c r="C184" s="608"/>
      <c r="D184" s="608"/>
      <c r="E184" s="608"/>
      <c r="F184" s="608"/>
      <c r="G184" s="608"/>
      <c r="H184" s="608"/>
      <c r="I184" s="608"/>
      <c r="J184" s="608"/>
      <c r="K184" s="608"/>
      <c r="L184" s="608"/>
      <c r="M184" s="608"/>
      <c r="N184" s="608"/>
      <c r="O184" s="608"/>
      <c r="P184" s="608"/>
      <c r="Q184" s="608"/>
      <c r="R184" s="609"/>
    </row>
    <row r="185" spans="1:18">
      <c r="A185" s="592" t="s">
        <v>189</v>
      </c>
      <c r="B185" s="593" t="s">
        <v>190</v>
      </c>
      <c r="C185" s="593"/>
      <c r="D185" s="593"/>
      <c r="E185" s="593"/>
      <c r="F185" s="593"/>
      <c r="G185" s="593"/>
      <c r="H185" s="593"/>
      <c r="I185" s="593"/>
      <c r="J185" s="593"/>
      <c r="K185" s="593"/>
      <c r="L185" s="593"/>
      <c r="M185" s="593"/>
      <c r="N185" s="593"/>
      <c r="O185" s="593"/>
      <c r="P185" s="593"/>
      <c r="Q185" s="593"/>
      <c r="R185" s="594"/>
    </row>
    <row r="186" spans="1:18">
      <c r="A186" s="592"/>
      <c r="B186" s="593" t="s">
        <v>191</v>
      </c>
      <c r="C186" s="593"/>
      <c r="D186" s="593"/>
      <c r="E186" s="593"/>
      <c r="F186" s="593"/>
      <c r="G186" s="593"/>
      <c r="H186" s="593"/>
      <c r="I186" s="593"/>
      <c r="J186" s="593"/>
      <c r="K186" s="593"/>
      <c r="L186" s="593"/>
      <c r="M186" s="593"/>
      <c r="N186" s="593"/>
      <c r="O186" s="593"/>
      <c r="P186" s="593"/>
      <c r="Q186" s="593"/>
      <c r="R186" s="594"/>
    </row>
    <row r="187" spans="1:18">
      <c r="A187" s="592"/>
      <c r="B187" s="593" t="s">
        <v>192</v>
      </c>
      <c r="C187" s="593"/>
      <c r="D187" s="593"/>
      <c r="E187" s="593"/>
      <c r="F187" s="593"/>
      <c r="G187" s="593"/>
      <c r="H187" s="593"/>
      <c r="I187" s="593"/>
      <c r="J187" s="593"/>
      <c r="K187" s="593"/>
      <c r="L187" s="593"/>
      <c r="M187" s="593"/>
      <c r="N187" s="593"/>
      <c r="O187" s="593"/>
      <c r="P187" s="593"/>
      <c r="Q187" s="593"/>
      <c r="R187" s="594"/>
    </row>
    <row r="188" spans="1:18">
      <c r="A188" s="592"/>
      <c r="B188" s="595" t="s">
        <v>26</v>
      </c>
      <c r="C188" s="595"/>
      <c r="D188" s="595"/>
      <c r="E188" s="191" t="s">
        <v>67</v>
      </c>
      <c r="F188" s="228"/>
      <c r="G188" s="618"/>
      <c r="H188" s="618"/>
      <c r="I188" s="618"/>
      <c r="J188" s="618"/>
      <c r="K188" s="618"/>
      <c r="L188" s="618"/>
      <c r="M188" s="618"/>
      <c r="N188" s="618"/>
      <c r="O188" s="618"/>
      <c r="P188" s="618"/>
      <c r="Q188" s="618"/>
      <c r="R188" s="618"/>
    </row>
    <row r="189" spans="1:18">
      <c r="A189" s="592"/>
      <c r="B189" s="192"/>
      <c r="C189" s="648" t="str">
        <f>IF(F188="","",IF(F188="cercueil","Bravo ! Rien à redire !"," Avec son utilisateur les secrets seront bien gardés..."))</f>
        <v/>
      </c>
      <c r="D189" s="648"/>
      <c r="E189" s="648"/>
      <c r="F189" s="648"/>
      <c r="G189" s="648"/>
      <c r="H189" s="648"/>
      <c r="I189" s="648"/>
      <c r="J189" s="648"/>
      <c r="K189" s="648"/>
      <c r="L189" s="648"/>
      <c r="M189" s="648"/>
      <c r="N189" s="648"/>
      <c r="O189" s="648"/>
      <c r="P189" s="648"/>
      <c r="Q189" s="648"/>
      <c r="R189" s="649"/>
    </row>
    <row r="190" spans="1:18">
      <c r="A190" s="604"/>
      <c r="B190" s="605"/>
      <c r="C190" s="605"/>
      <c r="D190" s="605"/>
      <c r="E190" s="605"/>
      <c r="F190" s="605"/>
      <c r="G190" s="605"/>
      <c r="H190" s="605"/>
      <c r="I190" s="605"/>
      <c r="J190" s="605"/>
      <c r="K190" s="605"/>
      <c r="L190" s="605"/>
      <c r="M190" s="605"/>
      <c r="N190" s="605"/>
      <c r="O190" s="605"/>
      <c r="P190" s="605"/>
      <c r="Q190" s="605"/>
      <c r="R190" s="606"/>
    </row>
    <row r="191" spans="1:18">
      <c r="A191" s="592" t="s">
        <v>237</v>
      </c>
      <c r="B191" s="593" t="s">
        <v>246</v>
      </c>
      <c r="C191" s="593"/>
      <c r="D191" s="593"/>
      <c r="E191" s="593"/>
      <c r="F191" s="593"/>
      <c r="G191" s="593"/>
      <c r="H191" s="593"/>
      <c r="I191" s="593"/>
      <c r="J191" s="593"/>
      <c r="K191" s="593"/>
      <c r="L191" s="593"/>
      <c r="M191" s="593"/>
      <c r="N191" s="593"/>
      <c r="O191" s="593"/>
      <c r="P191" s="593"/>
      <c r="Q191" s="593"/>
      <c r="R191" s="594"/>
    </row>
    <row r="192" spans="1:18">
      <c r="A192" s="592"/>
      <c r="B192" s="593" t="s">
        <v>247</v>
      </c>
      <c r="C192" s="593"/>
      <c r="D192" s="593"/>
      <c r="E192" s="593"/>
      <c r="F192" s="593"/>
      <c r="G192" s="593"/>
      <c r="H192" s="593"/>
      <c r="I192" s="593"/>
      <c r="J192" s="593"/>
      <c r="K192" s="593"/>
      <c r="L192" s="593"/>
      <c r="M192" s="593"/>
      <c r="N192" s="593"/>
      <c r="O192" s="593"/>
      <c r="P192" s="593"/>
      <c r="Q192" s="593"/>
      <c r="R192" s="594"/>
    </row>
    <row r="193" spans="1:18">
      <c r="A193" s="592"/>
      <c r="B193" s="593" t="s">
        <v>248</v>
      </c>
      <c r="C193" s="593"/>
      <c r="D193" s="593"/>
      <c r="E193" s="593"/>
      <c r="F193" s="593"/>
      <c r="G193" s="593"/>
      <c r="H193" s="593"/>
      <c r="I193" s="593"/>
      <c r="J193" s="593"/>
      <c r="K193" s="593"/>
      <c r="L193" s="593"/>
      <c r="M193" s="593"/>
      <c r="N193" s="593"/>
      <c r="O193" s="593"/>
      <c r="P193" s="593"/>
      <c r="Q193" s="593"/>
      <c r="R193" s="593"/>
    </row>
    <row r="194" spans="1:18">
      <c r="A194" s="592"/>
      <c r="B194" s="595" t="s">
        <v>249</v>
      </c>
      <c r="C194" s="595"/>
      <c r="D194" s="595"/>
      <c r="E194" s="595"/>
      <c r="F194" s="228"/>
      <c r="G194" s="596" t="s">
        <v>253</v>
      </c>
      <c r="H194" s="597"/>
      <c r="I194" s="597"/>
      <c r="J194" s="597"/>
      <c r="K194" s="597"/>
      <c r="L194" s="597"/>
      <c r="M194" s="597"/>
      <c r="N194" s="597"/>
      <c r="O194" s="597"/>
      <c r="P194" s="597"/>
      <c r="Q194" s="597"/>
      <c r="R194" s="597"/>
    </row>
    <row r="195" spans="1:18">
      <c r="A195" s="207"/>
      <c r="B195" s="623" t="str">
        <f>IF(F194="oui","Ceci afin de prendre le cheval de l'autre frère. Arrivant ainsi en 1er en haut de la colline avec le cheval de l'autre, ils s'assurent que l'autre arrivera en dernier avec leur propre cheval et par cette occasion, être l'héritier !","")</f>
        <v/>
      </c>
      <c r="C195" s="623"/>
      <c r="D195" s="623"/>
      <c r="E195" s="623"/>
      <c r="F195" s="623"/>
      <c r="G195" s="623"/>
      <c r="H195" s="623"/>
      <c r="I195" s="623"/>
      <c r="J195" s="623"/>
      <c r="K195" s="623"/>
      <c r="L195" s="623"/>
      <c r="M195" s="623"/>
      <c r="N195" s="623"/>
      <c r="O195" s="623"/>
      <c r="P195" s="623"/>
      <c r="Q195" s="623"/>
      <c r="R195" s="209"/>
    </row>
    <row r="196" spans="1:18">
      <c r="A196" s="207"/>
      <c r="B196" s="208"/>
      <c r="C196" s="208"/>
      <c r="D196" s="208"/>
      <c r="E196" s="208"/>
      <c r="F196" s="208"/>
      <c r="G196" s="208"/>
      <c r="H196" s="208"/>
      <c r="I196" s="208"/>
      <c r="J196" s="208"/>
      <c r="K196" s="208"/>
      <c r="L196" s="208"/>
      <c r="M196" s="208"/>
      <c r="N196" s="208"/>
      <c r="O196" s="208"/>
      <c r="P196" s="208"/>
      <c r="Q196" s="208"/>
      <c r="R196" s="209"/>
    </row>
    <row r="197" spans="1:18">
      <c r="A197" s="592" t="s">
        <v>250</v>
      </c>
      <c r="B197" s="593" t="s">
        <v>260</v>
      </c>
      <c r="C197" s="593"/>
      <c r="D197" s="593"/>
      <c r="E197" s="593"/>
      <c r="F197" s="593"/>
      <c r="G197" s="593"/>
      <c r="H197" s="593"/>
      <c r="I197" s="593"/>
      <c r="J197" s="593"/>
      <c r="K197" s="593"/>
      <c r="L197" s="593"/>
      <c r="M197" s="593"/>
      <c r="N197" s="593"/>
      <c r="O197" s="593"/>
      <c r="P197" s="593"/>
      <c r="Q197" s="593"/>
      <c r="R197" s="594"/>
    </row>
    <row r="198" spans="1:18">
      <c r="A198" s="592"/>
      <c r="B198" s="593" t="s">
        <v>252</v>
      </c>
      <c r="C198" s="593"/>
      <c r="D198" s="593"/>
      <c r="E198" s="593"/>
      <c r="F198" s="593"/>
      <c r="G198" s="593"/>
      <c r="H198" s="593"/>
      <c r="I198" s="593"/>
      <c r="J198" s="593"/>
      <c r="K198" s="593"/>
      <c r="L198" s="593"/>
      <c r="M198" s="593"/>
      <c r="N198" s="593"/>
      <c r="O198" s="593"/>
      <c r="P198" s="593"/>
      <c r="Q198" s="593"/>
      <c r="R198" s="594"/>
    </row>
    <row r="199" spans="1:18">
      <c r="A199" s="592"/>
      <c r="B199" s="593" t="s">
        <v>292</v>
      </c>
      <c r="C199" s="593"/>
      <c r="D199" s="593"/>
      <c r="E199" s="593"/>
      <c r="F199" s="593"/>
      <c r="G199" s="593"/>
      <c r="H199" s="593"/>
      <c r="I199" s="593"/>
      <c r="J199" s="593"/>
      <c r="K199" s="593"/>
      <c r="L199" s="593"/>
      <c r="M199" s="593"/>
      <c r="N199" s="593"/>
      <c r="O199" s="593"/>
      <c r="P199" s="593"/>
      <c r="Q199" s="593"/>
      <c r="R199" s="594"/>
    </row>
    <row r="200" spans="1:18">
      <c r="A200" s="592"/>
      <c r="B200" s="593" t="s">
        <v>251</v>
      </c>
      <c r="C200" s="593"/>
      <c r="D200" s="593"/>
      <c r="E200" s="593"/>
      <c r="F200" s="593"/>
      <c r="G200" s="593"/>
      <c r="H200" s="593"/>
      <c r="I200" s="593"/>
      <c r="J200" s="593"/>
      <c r="K200" s="593"/>
      <c r="L200" s="593"/>
      <c r="M200" s="593"/>
      <c r="N200" s="593"/>
      <c r="O200" s="593"/>
      <c r="P200" s="593"/>
      <c r="Q200" s="593"/>
      <c r="R200" s="594"/>
    </row>
    <row r="201" spans="1:18">
      <c r="A201" s="592"/>
      <c r="B201" s="595" t="s">
        <v>291</v>
      </c>
      <c r="C201" s="595"/>
      <c r="D201" s="595"/>
      <c r="E201" s="595"/>
      <c r="F201" s="228"/>
      <c r="G201" s="596" t="s">
        <v>253</v>
      </c>
      <c r="H201" s="597"/>
      <c r="I201" s="597"/>
      <c r="J201" s="597"/>
      <c r="K201" s="597"/>
      <c r="L201" s="597"/>
      <c r="M201" s="597"/>
      <c r="N201" s="597"/>
      <c r="O201" s="597"/>
      <c r="P201" s="597"/>
      <c r="Q201" s="597"/>
      <c r="R201" s="598"/>
    </row>
    <row r="202" spans="1:18">
      <c r="A202" s="207"/>
      <c r="B202" s="602" t="str">
        <f>IF(F201="oui","Allumez l'interrupteur 1 pendant 3 min, puis éteignez le. Allumez le second et dirigez vous vers la pièce. Ouvrez la porte et si","")</f>
        <v/>
      </c>
      <c r="C202" s="602"/>
      <c r="D202" s="602"/>
      <c r="E202" s="602"/>
      <c r="F202" s="602"/>
      <c r="G202" s="602"/>
      <c r="H202" s="602"/>
      <c r="I202" s="602"/>
      <c r="J202" s="602"/>
      <c r="K202" s="602"/>
      <c r="L202" s="602"/>
      <c r="M202" s="602"/>
      <c r="N202" s="602"/>
      <c r="O202" s="602"/>
      <c r="P202" s="602"/>
      <c r="Q202" s="602"/>
      <c r="R202" s="209"/>
    </row>
    <row r="203" spans="1:18">
      <c r="A203" s="207"/>
      <c r="B203" s="602" t="str">
        <f>IF(F201="oui","- La lumière est allumée; il s'agit du second interrupteur !","")</f>
        <v/>
      </c>
      <c r="C203" s="602"/>
      <c r="D203" s="602"/>
      <c r="E203" s="602"/>
      <c r="F203" s="602"/>
      <c r="G203" s="602"/>
      <c r="H203" s="602"/>
      <c r="I203" s="602"/>
      <c r="J203" s="602"/>
      <c r="K203" s="602"/>
      <c r="L203" s="602"/>
      <c r="M203" s="602"/>
      <c r="N203" s="602"/>
      <c r="O203" s="602"/>
      <c r="P203" s="602"/>
      <c r="Q203" s="602"/>
      <c r="R203" s="209"/>
    </row>
    <row r="204" spans="1:18">
      <c r="A204" s="207"/>
      <c r="B204" s="602" t="str">
        <f>IF(F201="oui","- La lumière est éteinte; alors si l'ampoule est chaude, c'est le premier sinon c'est le 3ème !","")</f>
        <v/>
      </c>
      <c r="C204" s="602"/>
      <c r="D204" s="602"/>
      <c r="E204" s="602"/>
      <c r="F204" s="602"/>
      <c r="G204" s="602"/>
      <c r="H204" s="602"/>
      <c r="I204" s="602"/>
      <c r="J204" s="602"/>
      <c r="K204" s="602"/>
      <c r="L204" s="602"/>
      <c r="M204" s="602"/>
      <c r="N204" s="602"/>
      <c r="O204" s="602"/>
      <c r="P204" s="602"/>
      <c r="Q204" s="602"/>
      <c r="R204" s="209"/>
    </row>
    <row r="205" spans="1:18">
      <c r="A205" s="206"/>
      <c r="B205" s="603" t="str">
        <f>IF(F203="oui","Allumez l'interrupetur 1 pendant 3 min, puis éteignez le. Allumez le second et dirigez vous vers la pièce. Ouvrez la porte et    (3 possibilités)","")</f>
        <v/>
      </c>
      <c r="C205" s="603"/>
      <c r="D205" s="603"/>
      <c r="E205" s="603"/>
      <c r="F205" s="603"/>
      <c r="G205" s="603"/>
      <c r="H205" s="603"/>
      <c r="I205" s="603"/>
      <c r="J205" s="603"/>
      <c r="K205" s="603"/>
      <c r="L205" s="603"/>
      <c r="M205" s="603"/>
      <c r="N205" s="603"/>
      <c r="O205" s="603"/>
      <c r="P205" s="603"/>
      <c r="Q205" s="603"/>
      <c r="R205" s="205"/>
    </row>
    <row r="206" spans="1:18">
      <c r="A206" s="592" t="s">
        <v>254</v>
      </c>
      <c r="B206" s="593" t="s">
        <v>256</v>
      </c>
      <c r="C206" s="593"/>
      <c r="D206" s="593"/>
      <c r="E206" s="593"/>
      <c r="F206" s="593"/>
      <c r="G206" s="593"/>
      <c r="H206" s="593"/>
      <c r="I206" s="593"/>
      <c r="J206" s="593"/>
      <c r="K206" s="593"/>
      <c r="L206" s="593"/>
      <c r="M206" s="593"/>
      <c r="N206" s="593"/>
      <c r="O206" s="593"/>
      <c r="P206" s="593"/>
      <c r="Q206" s="593"/>
      <c r="R206" s="594"/>
    </row>
    <row r="207" spans="1:18">
      <c r="A207" s="592"/>
      <c r="B207" s="593" t="s">
        <v>257</v>
      </c>
      <c r="C207" s="593"/>
      <c r="D207" s="593"/>
      <c r="E207" s="593"/>
      <c r="F207" s="593"/>
      <c r="G207" s="593"/>
      <c r="H207" s="593"/>
      <c r="I207" s="593"/>
      <c r="J207" s="593"/>
      <c r="K207" s="593"/>
      <c r="L207" s="593"/>
      <c r="M207" s="593"/>
      <c r="N207" s="593"/>
      <c r="O207" s="593"/>
      <c r="P207" s="593"/>
      <c r="Q207" s="593"/>
      <c r="R207" s="594"/>
    </row>
    <row r="208" spans="1:18">
      <c r="A208" s="592"/>
      <c r="B208" s="593" t="s">
        <v>258</v>
      </c>
      <c r="C208" s="593"/>
      <c r="D208" s="593"/>
      <c r="E208" s="593"/>
      <c r="F208" s="593"/>
      <c r="G208" s="593"/>
      <c r="H208" s="593"/>
      <c r="I208" s="593"/>
      <c r="J208" s="593"/>
      <c r="K208" s="593"/>
      <c r="L208" s="593"/>
      <c r="M208" s="593"/>
      <c r="N208" s="593"/>
      <c r="O208" s="593"/>
      <c r="P208" s="593"/>
      <c r="Q208" s="593"/>
      <c r="R208" s="594"/>
    </row>
    <row r="209" spans="1:18">
      <c r="A209" s="592"/>
      <c r="B209" s="593" t="s">
        <v>259</v>
      </c>
      <c r="C209" s="593"/>
      <c r="D209" s="593"/>
      <c r="E209" s="593"/>
      <c r="F209" s="593"/>
      <c r="G209" s="593"/>
      <c r="H209" s="593"/>
      <c r="I209" s="593"/>
      <c r="J209" s="593"/>
      <c r="K209" s="593"/>
      <c r="L209" s="593"/>
      <c r="M209" s="593"/>
      <c r="N209" s="593"/>
      <c r="O209" s="593"/>
      <c r="P209" s="593"/>
      <c r="Q209" s="593"/>
      <c r="R209" s="594"/>
    </row>
    <row r="210" spans="1:18">
      <c r="A210" s="592"/>
      <c r="B210" s="595" t="s">
        <v>255</v>
      </c>
      <c r="C210" s="595"/>
      <c r="D210" s="595"/>
      <c r="E210" s="595"/>
      <c r="F210" s="228"/>
      <c r="G210" s="596" t="s">
        <v>253</v>
      </c>
      <c r="H210" s="597"/>
      <c r="I210" s="597"/>
      <c r="J210" s="597"/>
      <c r="K210" s="597"/>
      <c r="L210" s="597"/>
      <c r="M210" s="597"/>
      <c r="N210" s="597"/>
      <c r="O210" s="597"/>
      <c r="P210" s="597"/>
      <c r="Q210" s="597"/>
      <c r="R210" s="598"/>
    </row>
    <row r="211" spans="1:18">
      <c r="A211" s="206"/>
      <c r="B211" s="599" t="str">
        <f>IF(F210="oui","LA REPONSE :   1) (&gt;) La Chèvre -- 2) (&lt;) Retour simple -- 3) (&gt;) Le Chou / Le Loup -- 4) (&lt;) La Chèvre -- 5) (&gt;) Le Loup / Le Chou (à l'inverse du 3ème passage) -- 6) (&lt;) Retour simple -- 7) (&gt;) La Chèvre  ","")</f>
        <v/>
      </c>
      <c r="C211" s="599"/>
      <c r="D211" s="599"/>
      <c r="E211" s="599"/>
      <c r="F211" s="599"/>
      <c r="G211" s="599"/>
      <c r="H211" s="599"/>
      <c r="I211" s="599"/>
      <c r="J211" s="599"/>
      <c r="K211" s="599"/>
      <c r="L211" s="599"/>
      <c r="M211" s="599"/>
      <c r="N211" s="599"/>
      <c r="O211" s="599"/>
      <c r="P211" s="599"/>
      <c r="Q211" s="599"/>
      <c r="R211" s="205"/>
    </row>
    <row r="212" spans="1:18">
      <c r="A212" s="206"/>
      <c r="B212" s="216"/>
      <c r="C212" s="216"/>
      <c r="D212" s="216"/>
      <c r="E212" s="216"/>
      <c r="F212" s="216"/>
      <c r="G212" s="216"/>
      <c r="H212" s="216"/>
      <c r="I212" s="216"/>
      <c r="J212" s="216"/>
      <c r="K212" s="216"/>
      <c r="L212" s="216"/>
      <c r="M212" s="216"/>
      <c r="N212" s="216"/>
      <c r="O212" s="216"/>
      <c r="P212" s="216"/>
      <c r="Q212" s="216"/>
      <c r="R212" s="205"/>
    </row>
    <row r="213" spans="1:18">
      <c r="A213" s="206"/>
      <c r="B213" s="216"/>
      <c r="C213" s="216"/>
      <c r="D213" s="216"/>
      <c r="E213" s="216"/>
      <c r="F213" s="216"/>
      <c r="G213" s="216"/>
      <c r="H213" s="216"/>
      <c r="I213" s="216"/>
      <c r="J213" s="216"/>
      <c r="K213" s="216"/>
      <c r="L213" s="216"/>
      <c r="M213" s="216"/>
      <c r="N213" s="216"/>
      <c r="O213" s="216"/>
      <c r="P213" s="216"/>
      <c r="Q213" s="216"/>
      <c r="R213" s="205"/>
    </row>
    <row r="214" spans="1:18">
      <c r="A214" s="206"/>
      <c r="B214" s="216"/>
      <c r="C214" s="216"/>
      <c r="D214" s="216"/>
      <c r="E214" s="216"/>
      <c r="F214" s="216"/>
      <c r="G214" s="216"/>
      <c r="H214" s="216"/>
      <c r="I214" s="216"/>
      <c r="J214" s="216"/>
      <c r="K214" s="216"/>
      <c r="L214" s="216"/>
      <c r="M214" s="216"/>
      <c r="N214" s="216"/>
      <c r="O214" s="216"/>
      <c r="P214" s="216"/>
      <c r="Q214" s="216"/>
      <c r="R214" s="205"/>
    </row>
    <row r="215" spans="1:18">
      <c r="A215" s="364"/>
      <c r="B215" s="363"/>
      <c r="C215" s="363"/>
      <c r="D215" s="363"/>
      <c r="E215" s="363"/>
      <c r="F215" s="363"/>
      <c r="G215" s="363"/>
      <c r="H215" s="363"/>
      <c r="I215" s="363"/>
      <c r="J215" s="363"/>
      <c r="K215" s="363"/>
      <c r="L215" s="363"/>
      <c r="M215" s="363"/>
      <c r="N215" s="363"/>
      <c r="O215" s="363"/>
      <c r="P215" s="363"/>
      <c r="Q215" s="363"/>
      <c r="R215" s="365"/>
    </row>
    <row r="216" spans="1:18">
      <c r="A216" s="592" t="s">
        <v>411</v>
      </c>
      <c r="B216" s="593" t="s">
        <v>412</v>
      </c>
      <c r="C216" s="593"/>
      <c r="D216" s="593"/>
      <c r="E216" s="593"/>
      <c r="F216" s="593"/>
      <c r="G216" s="593"/>
      <c r="H216" s="593"/>
      <c r="I216" s="593"/>
      <c r="J216" s="593"/>
      <c r="K216" s="593"/>
      <c r="L216" s="593"/>
      <c r="M216" s="593"/>
      <c r="N216" s="593"/>
      <c r="O216" s="593"/>
      <c r="P216" s="593"/>
      <c r="Q216" s="593"/>
      <c r="R216" s="594"/>
    </row>
    <row r="217" spans="1:18">
      <c r="A217" s="592"/>
      <c r="B217" s="595" t="s">
        <v>26</v>
      </c>
      <c r="C217" s="595"/>
      <c r="D217" s="595"/>
      <c r="E217" s="595"/>
      <c r="F217" s="228"/>
      <c r="G217" s="596"/>
      <c r="H217" s="597"/>
      <c r="I217" s="597"/>
      <c r="J217" s="597"/>
      <c r="K217" s="597"/>
      <c r="L217" s="597"/>
      <c r="M217" s="597"/>
      <c r="N217" s="597"/>
      <c r="O217" s="597"/>
      <c r="P217" s="597"/>
      <c r="Q217" s="597"/>
      <c r="R217" s="598"/>
    </row>
    <row r="218" spans="1:18">
      <c r="A218" s="474">
        <f>SUM(IF(B10="",0,1)+IF(F16="",0,1)+IF(F19="",0,1)+IF(F26="",0,1)+IF(F32="",0,1)+IF(F36="",0,1)+IF(F40="",0,1)+IF(F44="",0,1)+IF(F48="",0,1)+IF(F54="",0,1)+IF(AND(F61="",C62=" L' 'Heure' est en effet la bonne réponse !"),1,IF(F61="",0,1))+IF(F68="",0,1)+IF(F71="",0,1)+IF(F74="",0,1)+IF(F77="",0,1)+IF(F81="",0,1)+IF(F88="",0,1)+IF(AND(F92="",B96="En effet, il faut lire ce que tu vois… pour '1' &gt; un '1' (soit 11) donc pour 1211 &gt; un '1', un '2' et deux '1'  (soit 111221) …"),1,IF(F92="",0,1))+IF(I85="",0,1)+IF(F100="",0,1)+IF(F103="",0,1)+IF(F107="",0,1)+IF(F110="",0,1)+IF(F114="",0,1)+IF(F117="",0,1)+IF(F122="",0,1)+IF(F129="",0,1)+IF(F133="",0,1)+IF(I143="",0,1)+IF(F155="",0,1)+IF(F159="",0,1)+IF(F163="",0,1)+IF(AND(F168="",C169="Bravo ! Elles sont fère et sœur !!"),1,IF(F168="",0,1))+IF(F172="",0,1)+IF(F176="",0,1)+IF(F182="",0,1)+IF(F188="",0,1)+IF(F194="",0,1)+IF(F201="",0,1)+IF(F210="",0,1)+IF(F217="",0,1))</f>
        <v>0</v>
      </c>
      <c r="B218" s="599" t="str">
        <f>IF(F217="","",IF(F217="la poste","Bonne réponse, elle est l'intermédiaire pour l'envoi d'enveloppe en AR …!","Indice...Prestataire de services"))</f>
        <v/>
      </c>
      <c r="C218" s="599"/>
      <c r="D218" s="599"/>
      <c r="E218" s="599"/>
      <c r="F218" s="599"/>
      <c r="G218" s="599"/>
      <c r="H218" s="599"/>
      <c r="I218" s="599"/>
      <c r="J218" s="599"/>
      <c r="K218" s="599"/>
      <c r="L218" s="599"/>
      <c r="M218" s="599"/>
      <c r="N218" s="599"/>
      <c r="O218" s="599"/>
      <c r="P218" s="599"/>
      <c r="Q218" s="599"/>
      <c r="R218" s="205"/>
    </row>
  </sheetData>
  <sheetProtection password="8B0A" sheet="1" objects="1" scenarios="1" pivotTables="0"/>
  <mergeCells count="320">
    <mergeCell ref="R84:R85"/>
    <mergeCell ref="A14:B14"/>
    <mergeCell ref="C14:R14"/>
    <mergeCell ref="A1:R1"/>
    <mergeCell ref="I84:Q84"/>
    <mergeCell ref="A53:A56"/>
    <mergeCell ref="A47:A51"/>
    <mergeCell ref="A43:A45"/>
    <mergeCell ref="A39:A41"/>
    <mergeCell ref="G40:R40"/>
    <mergeCell ref="G44:R44"/>
    <mergeCell ref="G48:R48"/>
    <mergeCell ref="G49:R49"/>
    <mergeCell ref="B32:E32"/>
    <mergeCell ref="B36:E36"/>
    <mergeCell ref="G32:R32"/>
    <mergeCell ref="G36:R36"/>
    <mergeCell ref="B35:R35"/>
    <mergeCell ref="B39:R39"/>
    <mergeCell ref="B74:E74"/>
    <mergeCell ref="B77:E77"/>
    <mergeCell ref="B81:E81"/>
    <mergeCell ref="A22:A29"/>
    <mergeCell ref="G16:R16"/>
    <mergeCell ref="B48:E48"/>
    <mergeCell ref="C45:R45"/>
    <mergeCell ref="B58:F58"/>
    <mergeCell ref="A31:A33"/>
    <mergeCell ref="A35:A37"/>
    <mergeCell ref="A4:A9"/>
    <mergeCell ref="A13:R13"/>
    <mergeCell ref="C10:R10"/>
    <mergeCell ref="C11:R11"/>
    <mergeCell ref="C12:R12"/>
    <mergeCell ref="C28:E28"/>
    <mergeCell ref="C29:R29"/>
    <mergeCell ref="B40:E40"/>
    <mergeCell ref="B44:E44"/>
    <mergeCell ref="A42:R42"/>
    <mergeCell ref="A46:R46"/>
    <mergeCell ref="C37:R37"/>
    <mergeCell ref="C41:R41"/>
    <mergeCell ref="B55:B56"/>
    <mergeCell ref="B53:R53"/>
    <mergeCell ref="C55:R55"/>
    <mergeCell ref="A58:A62"/>
    <mergeCell ref="B61:E61"/>
    <mergeCell ref="C33:R33"/>
    <mergeCell ref="A2:R3"/>
    <mergeCell ref="B4:R4"/>
    <mergeCell ref="B5:R5"/>
    <mergeCell ref="B6:R6"/>
    <mergeCell ref="B7:R7"/>
    <mergeCell ref="B8:R8"/>
    <mergeCell ref="B9:R9"/>
    <mergeCell ref="A97:R97"/>
    <mergeCell ref="A91:A96"/>
    <mergeCell ref="G93:R93"/>
    <mergeCell ref="G94:R94"/>
    <mergeCell ref="G95:R95"/>
    <mergeCell ref="G19:R19"/>
    <mergeCell ref="A84:A85"/>
    <mergeCell ref="G88:R88"/>
    <mergeCell ref="B92:D92"/>
    <mergeCell ref="A38:R38"/>
    <mergeCell ref="A34:R34"/>
    <mergeCell ref="A30:R30"/>
    <mergeCell ref="A21:R21"/>
    <mergeCell ref="G92:R92"/>
    <mergeCell ref="A79:R79"/>
    <mergeCell ref="A80:A82"/>
    <mergeCell ref="A77:A78"/>
    <mergeCell ref="B43:R43"/>
    <mergeCell ref="C72:R72"/>
    <mergeCell ref="C75:R75"/>
    <mergeCell ref="A106:A108"/>
    <mergeCell ref="B93:D93"/>
    <mergeCell ref="A15:R15"/>
    <mergeCell ref="B31:R31"/>
    <mergeCell ref="B19:E19"/>
    <mergeCell ref="B26:E26"/>
    <mergeCell ref="B22:R22"/>
    <mergeCell ref="B23:R23"/>
    <mergeCell ref="B24:R24"/>
    <mergeCell ref="B25:R25"/>
    <mergeCell ref="G26:R26"/>
    <mergeCell ref="B27:B29"/>
    <mergeCell ref="G28:R28"/>
    <mergeCell ref="B16:E16"/>
    <mergeCell ref="A17:B17"/>
    <mergeCell ref="A20:B20"/>
    <mergeCell ref="C17:R17"/>
    <mergeCell ref="C20:R20"/>
    <mergeCell ref="C27:R27"/>
    <mergeCell ref="A18:R18"/>
    <mergeCell ref="B47:R47"/>
    <mergeCell ref="C125:R125"/>
    <mergeCell ref="B94:D94"/>
    <mergeCell ref="C189:R189"/>
    <mergeCell ref="B124:E124"/>
    <mergeCell ref="B129:E129"/>
    <mergeCell ref="B133:E133"/>
    <mergeCell ref="A132:R132"/>
    <mergeCell ref="A127:A131"/>
    <mergeCell ref="G129:R129"/>
    <mergeCell ref="G133:R133"/>
    <mergeCell ref="B100:E100"/>
    <mergeCell ref="B103:E103"/>
    <mergeCell ref="C104:R104"/>
    <mergeCell ref="B106:R106"/>
    <mergeCell ref="C108:R108"/>
    <mergeCell ref="C111:R111"/>
    <mergeCell ref="A109:R109"/>
    <mergeCell ref="A112:R112"/>
    <mergeCell ref="A116:R116"/>
    <mergeCell ref="A113:A115"/>
    <mergeCell ref="A110:A111"/>
    <mergeCell ref="G110:R110"/>
    <mergeCell ref="G114:R114"/>
    <mergeCell ref="B107:D107"/>
    <mergeCell ref="G188:R188"/>
    <mergeCell ref="B175:R175"/>
    <mergeCell ref="C177:R177"/>
    <mergeCell ref="B179:R179"/>
    <mergeCell ref="B180:R180"/>
    <mergeCell ref="B181:R181"/>
    <mergeCell ref="C183:R183"/>
    <mergeCell ref="B182:D182"/>
    <mergeCell ref="B188:D188"/>
    <mergeCell ref="B176:D176"/>
    <mergeCell ref="B185:R185"/>
    <mergeCell ref="B186:R186"/>
    <mergeCell ref="B187:R187"/>
    <mergeCell ref="A184:R184"/>
    <mergeCell ref="B99:R99"/>
    <mergeCell ref="B96:E96"/>
    <mergeCell ref="G96:R96"/>
    <mergeCell ref="A103:A104"/>
    <mergeCell ref="A98:A101"/>
    <mergeCell ref="G100:R100"/>
    <mergeCell ref="G103:R103"/>
    <mergeCell ref="G107:R107"/>
    <mergeCell ref="C101:R101"/>
    <mergeCell ref="B98:R98"/>
    <mergeCell ref="A105:R105"/>
    <mergeCell ref="A102:R102"/>
    <mergeCell ref="B49:E49"/>
    <mergeCell ref="C51:R51"/>
    <mergeCell ref="G50:R50"/>
    <mergeCell ref="A57:R57"/>
    <mergeCell ref="D54:E54"/>
    <mergeCell ref="A52:R52"/>
    <mergeCell ref="B50:E50"/>
    <mergeCell ref="G61:R61"/>
    <mergeCell ref="B95:D95"/>
    <mergeCell ref="G54:R54"/>
    <mergeCell ref="G68:R68"/>
    <mergeCell ref="G71:R71"/>
    <mergeCell ref="B64:R64"/>
    <mergeCell ref="B65:R65"/>
    <mergeCell ref="B66:R66"/>
    <mergeCell ref="B67:R67"/>
    <mergeCell ref="C62:R62"/>
    <mergeCell ref="C69:R69"/>
    <mergeCell ref="B68:E68"/>
    <mergeCell ref="B91:D91"/>
    <mergeCell ref="C56:R56"/>
    <mergeCell ref="A86:R86"/>
    <mergeCell ref="A90:R90"/>
    <mergeCell ref="B59:R59"/>
    <mergeCell ref="B84:H84"/>
    <mergeCell ref="G58:R58"/>
    <mergeCell ref="E91:R91"/>
    <mergeCell ref="A83:R83"/>
    <mergeCell ref="B80:R80"/>
    <mergeCell ref="C78:R78"/>
    <mergeCell ref="C82:R82"/>
    <mergeCell ref="C85:H85"/>
    <mergeCell ref="B88:E88"/>
    <mergeCell ref="A87:A89"/>
    <mergeCell ref="B60:R60"/>
    <mergeCell ref="B87:R87"/>
    <mergeCell ref="C89:R89"/>
    <mergeCell ref="A73:R73"/>
    <mergeCell ref="A76:R76"/>
    <mergeCell ref="A74:A75"/>
    <mergeCell ref="A71:A72"/>
    <mergeCell ref="A64:A69"/>
    <mergeCell ref="G74:R74"/>
    <mergeCell ref="G77:R77"/>
    <mergeCell ref="G81:R81"/>
    <mergeCell ref="A63:R63"/>
    <mergeCell ref="A70:R70"/>
    <mergeCell ref="B71:E71"/>
    <mergeCell ref="A138:E138"/>
    <mergeCell ref="A139:E139"/>
    <mergeCell ref="A141:B141"/>
    <mergeCell ref="B136:E136"/>
    <mergeCell ref="G136:R136"/>
    <mergeCell ref="A137:R137"/>
    <mergeCell ref="A133:A136"/>
    <mergeCell ref="G138:R138"/>
    <mergeCell ref="G134:R134"/>
    <mergeCell ref="G135:R135"/>
    <mergeCell ref="G139:R139"/>
    <mergeCell ref="C141:R141"/>
    <mergeCell ref="A140:R140"/>
    <mergeCell ref="C115:R115"/>
    <mergeCell ref="B128:R128"/>
    <mergeCell ref="C130:R130"/>
    <mergeCell ref="C131:R131"/>
    <mergeCell ref="B134:E134"/>
    <mergeCell ref="B135:E135"/>
    <mergeCell ref="B110:E110"/>
    <mergeCell ref="B114:D114"/>
    <mergeCell ref="B117:E117"/>
    <mergeCell ref="B113:R113"/>
    <mergeCell ref="B122:E122"/>
    <mergeCell ref="B123:E123"/>
    <mergeCell ref="B120:R120"/>
    <mergeCell ref="G122:R122"/>
    <mergeCell ref="G123:R123"/>
    <mergeCell ref="G124:R124"/>
    <mergeCell ref="C118:R118"/>
    <mergeCell ref="B127:R127"/>
    <mergeCell ref="A126:R126"/>
    <mergeCell ref="A119:R119"/>
    <mergeCell ref="A120:A125"/>
    <mergeCell ref="A117:A118"/>
    <mergeCell ref="G117:R117"/>
    <mergeCell ref="B121:R121"/>
    <mergeCell ref="G150:H150"/>
    <mergeCell ref="C148:E148"/>
    <mergeCell ref="A142:R142"/>
    <mergeCell ref="B144:H144"/>
    <mergeCell ref="B145:H145"/>
    <mergeCell ref="B146:H146"/>
    <mergeCell ref="C147:E147"/>
    <mergeCell ref="B147:B152"/>
    <mergeCell ref="C151:R151"/>
    <mergeCell ref="I148:R150"/>
    <mergeCell ref="B143:H143"/>
    <mergeCell ref="C152:R152"/>
    <mergeCell ref="A143:A152"/>
    <mergeCell ref="B194:E194"/>
    <mergeCell ref="A191:A194"/>
    <mergeCell ref="A197:A201"/>
    <mergeCell ref="B197:R197"/>
    <mergeCell ref="B198:R198"/>
    <mergeCell ref="B199:R199"/>
    <mergeCell ref="B201:E201"/>
    <mergeCell ref="B200:R200"/>
    <mergeCell ref="B195:Q195"/>
    <mergeCell ref="G194:R194"/>
    <mergeCell ref="G201:R201"/>
    <mergeCell ref="B192:R192"/>
    <mergeCell ref="B193:R193"/>
    <mergeCell ref="A158:A160"/>
    <mergeCell ref="G172:R172"/>
    <mergeCell ref="C173:R173"/>
    <mergeCell ref="C169:R169"/>
    <mergeCell ref="B171:R171"/>
    <mergeCell ref="A179:A183"/>
    <mergeCell ref="A162:A164"/>
    <mergeCell ref="B168:D168"/>
    <mergeCell ref="B172:E172"/>
    <mergeCell ref="A170:R170"/>
    <mergeCell ref="C164:R164"/>
    <mergeCell ref="B159:E159"/>
    <mergeCell ref="A175:A177"/>
    <mergeCell ref="G176:R176"/>
    <mergeCell ref="G182:R182"/>
    <mergeCell ref="A157:R157"/>
    <mergeCell ref="A161:R161"/>
    <mergeCell ref="A165:R165"/>
    <mergeCell ref="C156:R156"/>
    <mergeCell ref="A171:A173"/>
    <mergeCell ref="A166:A169"/>
    <mergeCell ref="G147:H147"/>
    <mergeCell ref="G148:H148"/>
    <mergeCell ref="G149:H149"/>
    <mergeCell ref="G168:R168"/>
    <mergeCell ref="N143:R147"/>
    <mergeCell ref="G159:R159"/>
    <mergeCell ref="B163:D163"/>
    <mergeCell ref="A153:R153"/>
    <mergeCell ref="B158:R158"/>
    <mergeCell ref="C160:R160"/>
    <mergeCell ref="B162:R162"/>
    <mergeCell ref="B167:R167"/>
    <mergeCell ref="C149:E149"/>
    <mergeCell ref="C150:E150"/>
    <mergeCell ref="B155:E155"/>
    <mergeCell ref="B154:R154"/>
    <mergeCell ref="A154:A156"/>
    <mergeCell ref="G155:R155"/>
    <mergeCell ref="A216:A217"/>
    <mergeCell ref="B216:R216"/>
    <mergeCell ref="B217:E217"/>
    <mergeCell ref="G217:R217"/>
    <mergeCell ref="B218:Q218"/>
    <mergeCell ref="B211:Q211"/>
    <mergeCell ref="B166:E166"/>
    <mergeCell ref="F166:R166"/>
    <mergeCell ref="B202:Q202"/>
    <mergeCell ref="B203:Q203"/>
    <mergeCell ref="B204:Q204"/>
    <mergeCell ref="B205:Q205"/>
    <mergeCell ref="A206:A210"/>
    <mergeCell ref="B206:R206"/>
    <mergeCell ref="B207:R207"/>
    <mergeCell ref="B208:R208"/>
    <mergeCell ref="B209:R209"/>
    <mergeCell ref="B210:E210"/>
    <mergeCell ref="G210:R210"/>
    <mergeCell ref="A185:A189"/>
    <mergeCell ref="A190:R190"/>
    <mergeCell ref="B191:R191"/>
    <mergeCell ref="A174:R174"/>
    <mergeCell ref="A178:R178"/>
  </mergeCells>
  <conditionalFormatting sqref="C10:C12">
    <cfRule type="cellIs" dxfId="470" priority="2451" operator="equal">
      <formula>"Bravo, c'est exact!"</formula>
    </cfRule>
    <cfRule type="cellIs" dxfId="469" priority="2453" operator="equal">
      <formula>"FAUX, essayes encore!"</formula>
    </cfRule>
  </conditionalFormatting>
  <conditionalFormatting sqref="C11:C12">
    <cfRule type="cellIs" dxfId="468" priority="2452" operator="equal">
      <formula>"FAUX, essayes encore!"</formula>
    </cfRule>
  </conditionalFormatting>
  <conditionalFormatting sqref="C14">
    <cfRule type="cellIs" dxfId="467" priority="2441" operator="equal">
      <formula>" Et oui ! Il y a 3 générations : 2 pères et 2 fils dont l'un est fils et père à la fois !!!"</formula>
    </cfRule>
    <cfRule type="cellIs" dxfId="466" priority="2442" operator="equal">
      <formula>" Réfléchis un peu !!"</formula>
    </cfRule>
    <cfRule type="cellIs" dxfId="465" priority="2443" operator="equal">
      <formula>"Pffff ! Tu ne crois quand même pas qu'en mettant deux fois la même personne cela va fonctionner et te donner la réponse ?!"</formula>
    </cfRule>
  </conditionalFormatting>
  <conditionalFormatting sqref="C17">
    <cfRule type="cellIs" dxfId="464" priority="2435" operator="equal">
      <formula>"Bravo c'est tout à fait cela !!"</formula>
    </cfRule>
    <cfRule type="cellIs" dxfId="463" priority="2436" operator="equal">
      <formula>"Non, continues de creuser !!"</formula>
    </cfRule>
    <cfRule type="cellIs" dxfId="462" priority="2437" operator="equal">
      <formula>"u crois tout de même pas que je t'aurais mis une question aussi facile !!"</formula>
    </cfRule>
  </conditionalFormatting>
  <conditionalFormatting sqref="C20">
    <cfRule type="cellIs" dxfId="461" priority="2429" operator="equal">
      <formula>"Félicitations ! c'est juste !!"</formula>
    </cfRule>
    <cfRule type="cellIs" dxfId="460" priority="2430" operator="equal">
      <formula>"Tu crois tout de même pas que je t'aurais mis une question aussi facile !!"</formula>
    </cfRule>
    <cfRule type="cellIs" dxfId="459" priority="2431" operator="equal">
      <formula>"Non, continues de creuser !!"</formula>
    </cfRule>
  </conditionalFormatting>
  <conditionalFormatting sqref="C27:C29 D56 C55:C56 C62 A70:R70 C69 C72:D72 C75:D75 C78:D78 C82:D82 C89:D89 C101:D101 C104:D104 C108:D108 C111:D111 C115:D115 C118:D118 C125:D125 C130:D131 C141:D141">
    <cfRule type="cellIs" dxfId="458" priority="2423" operator="equal">
      <formula>"Bravo, c'est exact ! Mais le problème n'est pas tout à fait résolu. Quelle sorte d'étoile ?"</formula>
    </cfRule>
  </conditionalFormatting>
  <conditionalFormatting sqref="C27 C29 D56 C55:C56 C62 A70:R70 C69 C72:D72 C75:D75 C78:D78 C82:D82 C89:D89 C101:D101 C104:D104 C108:D108 C111:D111 C115:D115 C118:D118 C125:D125 C130:D131 C141:D141">
    <cfRule type="cellIs" dxfId="457" priority="2421" operator="equal">
      <formula>"Bravo mais le problème n'est pas tout à fait résolu. Quelle sorte d'étoile ?"</formula>
    </cfRule>
    <cfRule type="cellIs" dxfId="456" priority="2422" operator="equal">
      <formula>"Non, c'est faux !"</formula>
    </cfRule>
  </conditionalFormatting>
  <conditionalFormatting sqref="C29 D56 C55:C56 C62 A70:R70 C69 C72:D72 C75:D75 C78:D78 C82:D82 C89:D89 C101:D101 C104:D104 C108:D108 C111:D111 C115:D115 C118:D118 C125:D125 C130:D131 C141:D141">
    <cfRule type="cellIs" dxfId="455" priority="2376" operator="equal">
      <formula>"Réfléchis, une étoile à zéro branche !! Pff !!"</formula>
    </cfRule>
    <cfRule type="cellIs" dxfId="454" priority="2381" operator="equal">
      <formula>"Un peu moins !"</formula>
    </cfRule>
    <cfRule type="cellIs" dxfId="453" priority="2416" operator="equal">
      <formula>"Tu ne trouves pas que cela fait un peu beaucoup ?!"</formula>
    </cfRule>
    <cfRule type="cellIs" dxfId="452" priority="2419" operator="equal">
      <formula>"Un peu plus !"</formula>
    </cfRule>
  </conditionalFormatting>
  <conditionalFormatting sqref="D56 C29 C55:C56 C62 A70:R70 C69 C72:D72 C75:D75 C78:D78 C82:D82 C89:D89 C101:D101 C104:D104 C108:D108 C111:D111 C115:D115 C118:D118 C125:D125 C130:D131 C141:D141">
    <cfRule type="cellIs" dxfId="451" priority="2382" operator="equal">
      <formula>"Presque !"</formula>
    </cfRule>
    <cfRule type="cellIs" dxfId="450" priority="2418" operator="equal">
      <formula>"Bravo, fais-toi un dessin si tu ne l'as pas déjà fait pour vérifier !"</formula>
    </cfRule>
  </conditionalFormatting>
  <conditionalFormatting sqref="D56 C29 C55:C56 C62 A70:R70 C69 C72:D72 C75:D75 C78:D78 C82:D82 C89:D89 C101:D101 C104:D104 C108:D108 C111:D111 C115:D115 C118:D118 C125:D125 C130:D131 C141:D141">
    <cfRule type="cellIs" dxfId="449" priority="2417" operator="equal">
      <formula>"Un peu plus!"</formula>
    </cfRule>
  </conditionalFormatting>
  <conditionalFormatting sqref="D56 C29 C55:C56 C62 A70:R70 C69 C72:D72 C75:D75 C78:D78 C82:D82 C89:D89 C101:D101 C104:D104 C108:D108 C111:D111 C115:D115 C118:D118 C125:D125 C130:D131 C141:D141">
    <cfRule type="cellIs" dxfId="448" priority="2415" operator="equal">
      <formula>"Bravo, fais-toi un dessin si tu ne l'as pas déjà fait pour vérifier !"</formula>
    </cfRule>
  </conditionalFormatting>
  <conditionalFormatting sqref="D56 C29 C55:C56 C62 A70:R70 C69 C72:D72 C75:D75 C78:D78 C82:D82 C89:D89 C101:D101 C104:D104 C108:D108 C111:D111 C115:D115 C118:D118 C125:D125 C130:D131 C141:D141">
    <cfRule type="cellIs" dxfId="447" priority="2413" operator="equal">
      <formula>"Tu ne trouves pas que cela fait un peu beaucoup ?!"</formula>
    </cfRule>
    <cfRule type="cellIs" dxfId="446" priority="2414" operator="equal">
      <formula>"Un peu moins!"</formula>
    </cfRule>
  </conditionalFormatting>
  <conditionalFormatting sqref="C33 D56 C55:C56 C62 A70:R70 C69 C72:D72 C75:D75 C78:D78 C82:D82 C89:D89 C101:D101 C104:D104 C108:D108 C111:D111 C115:D115 C118:D118 C125:D125 C130:D131 C141:D141">
    <cfRule type="cellIs" dxfId="445" priority="2410" operator="equal">
      <formula>"Non c'est pas cela, c'est plus facile que tu ne le crois ! La réponse est dans la question !!"</formula>
    </cfRule>
    <cfRule type="cellIs" dxfId="444" priority="2411" operator="equal">
      <formula>"Non ! Allez réfléchis !!"</formula>
    </cfRule>
    <cfRule type="cellIs" dxfId="443" priority="2412" operator="equal">
      <formula>"Bravo, en effet avec le coup de feu, les 19 autres se sont envolés !"</formula>
    </cfRule>
  </conditionalFormatting>
  <conditionalFormatting sqref="C37 D56 C55:C56 C62 A70:R70 C69 C72:D72 C75:D75 C78:D78 C82:D82 C89:D89 C101:D101 C104:D104 C108:D108 C111:D111 C115:D115 C118:D118 C125:D125 C130:D131 C141:D141">
    <cfRule type="cellIs" dxfId="442" priority="2404" operator="equal">
      <formula>"Indice: en un mot ! Relis la question !"</formula>
    </cfRule>
    <cfRule type="cellIs" dxfId="441" priority="2405" operator="equal">
      <formula>"Non c'est pas cela, c'est plus facile que tu ne le crois ! La réponse est dans la question !!"</formula>
    </cfRule>
    <cfRule type="cellIs" dxfId="440" priority="2406" operator="equal">
      <formula>"Bravo! Si le lac est gelé, c'est que nous sommes en Hiver ; et en Hiver, il n'y a pas de pommes !"</formula>
    </cfRule>
  </conditionalFormatting>
  <conditionalFormatting sqref="C41 C45 D56 C55:C56 C62 A70:R70 C69 C72:D72 C75:D75 C78:D78 C82:D82 C89:D89 C101:D101 C104:D104 C108:D108 C111:D111 C115:D115 C118:D118 C125:D125 C130:D131 C141:D141">
    <cfRule type="cellIs" dxfId="439" priority="2392" operator="equal">
      <formula>"Allez on réfléchit!"</formula>
    </cfRule>
    <cfRule type="cellIs" dxfId="438" priority="2393" operator="equal">
      <formula>"Non, réfléchis, c'est plus facile que tu ne le crois ! La réponse est dans la question !!"</formula>
    </cfRule>
    <cfRule type="cellIs" dxfId="437" priority="2394" operator="equal">
      <formula>"Bravo! S'il double de surface chaque nuit, c'est bien au 16ème jour qu'il recouvrira la totalité de l'étang !"</formula>
    </cfRule>
  </conditionalFormatting>
  <conditionalFormatting sqref="D56 C29 C55:C56 C62 A70:R70 C69 C72:D72 C75:D75 C78:D78 C82:D82 C89:D89 C101:D101 C104:D104 C108:D108 C111:D111 C115:D115 C118:D118 C125:D125 C130:D131 C141:D141">
    <cfRule type="cellIs" dxfId="436" priority="2377" operator="equal">
      <formula>"Un peu moins !"</formula>
    </cfRule>
    <cfRule type="cellIs" dxfId="435" priority="2378" operator="equal">
      <formula>"Tu ne trouves pas que cela fait un peu beaucoup ?!"</formula>
    </cfRule>
    <cfRule type="cellIs" dxfId="434" priority="2379" operator="equal">
      <formula>"Un peu plus !"</formula>
    </cfRule>
  </conditionalFormatting>
  <conditionalFormatting sqref="D56 C29 C55:C56 C62 A70:R70 C69 C72:D72 C75:D75 C78:D78 C82:D82 C89:D89 C101:D101 C104:D104 C108:D108 C111:D111 C115:D115 C118:D118 C125:D125 C130:D131 C141:D141">
    <cfRule type="cellIs" dxfId="433" priority="2371" operator="equal">
      <formula>"Réfléchis, une étoile à zéro branches !! Pff !!"</formula>
    </cfRule>
    <cfRule type="cellIs" dxfId="432" priority="2372" operator="equal">
      <formula>"Un peu moins !"</formula>
    </cfRule>
    <cfRule type="cellIs" dxfId="431" priority="2373" operator="equal">
      <formula>"Tu ne trouves pas que cela fait un peu beaucoup ?!"</formula>
    </cfRule>
    <cfRule type="cellIs" dxfId="430" priority="2374" operator="equal">
      <formula>"Un peu plus !"</formula>
    </cfRule>
  </conditionalFormatting>
  <conditionalFormatting sqref="F28">
    <cfRule type="expression" dxfId="429" priority="2354">
      <formula>$C$28="Une étoile certes, mais à combien de branches ?"</formula>
    </cfRule>
  </conditionalFormatting>
  <conditionalFormatting sqref="B11">
    <cfRule type="expression" dxfId="428" priority="2352">
      <formula>$C$10="Bravo, c'est exact!"</formula>
    </cfRule>
  </conditionalFormatting>
  <conditionalFormatting sqref="B12">
    <cfRule type="expression" dxfId="427" priority="2351">
      <formula>$C$11="Bravo, c'est exact!"</formula>
    </cfRule>
  </conditionalFormatting>
  <conditionalFormatting sqref="F19 F16">
    <cfRule type="expression" dxfId="426" priority="2348">
      <formula>$B$16="De quelle couleur sont les boites noires des avions ?"</formula>
    </cfRule>
  </conditionalFormatting>
  <conditionalFormatting sqref="C45">
    <cfRule type="cellIs" dxfId="425" priority="2332" operator="equal">
      <formula>"Allez on réfléchit!"</formula>
    </cfRule>
    <cfRule type="cellIs" dxfId="424" priority="2333" operator="equal">
      <formula>"Non, réfléchis, c'est plus facile que tu ne le crois ! La réponse est dans la question !!"</formula>
    </cfRule>
    <cfRule type="cellIs" dxfId="423" priority="2334" operator="equal">
      <formula>"Bravo! En t'en donnant 5, l'écart sera de 10!"</formula>
    </cfRule>
  </conditionalFormatting>
  <conditionalFormatting sqref="F50">
    <cfRule type="expression" dxfId="422" priority="2315">
      <formula>$F$49="nombre"</formula>
    </cfRule>
  </conditionalFormatting>
  <conditionalFormatting sqref="C51 D56 C55:C56 C62 A70:R70 C69 C72:D72 C75:D75 C78:D78 C82:D82 C89:D89 C101:D101 C104:D104 C108:D108 C111:D111 C115:D115 C118:D118 C125:D125 C130:D131 C141:D141">
    <cfRule type="cellIs" dxfId="421" priority="2313" operator="equal">
      <formula>"On réfléchit, on révise son Latin !"</formula>
    </cfRule>
    <cfRule type="cellIs" dxfId="420" priority="2314" operator="equal">
      <formula>"Félicitations ! Et je précise que ce mot est plus long que 'anticonstitutionnellement'. Il compte 29 lettres!"</formula>
    </cfRule>
  </conditionalFormatting>
  <conditionalFormatting sqref="D56 C55:C56 C62 A70:R70 C69 C72:D72 C75:D75 C78:D78 C82:D82 C89:D89 C101:D101 C104:D104 C108:D108 C111:D111 C115:D115 C118:D118 C125:D125 C130:D131 C141:D141">
    <cfRule type="cellIs" dxfId="419" priority="2302" operator="equal">
      <formula>"Continues de chercher !"</formula>
    </cfRule>
    <cfRule type="cellIs" dxfId="418" priority="2303" operator="equal">
      <formula>"Bravo encore excat !!"</formula>
    </cfRule>
  </conditionalFormatting>
  <conditionalFormatting sqref="C56:D56 C62 A70:R70 C69 C72:D72 C75:D75 C78:D78 C82:D82 C89:D89 C101:D101 C104:D104 C108:D108 C111:D111 C115:D115 C118:D118 C125:D125 C130:D131 C141:D141">
    <cfRule type="cellIs" dxfId="417" priority="2300" operator="equal">
      <formula>"Sois plus attentif à la tournure de la phrase! Indice : Les verbes !"</formula>
    </cfRule>
    <cfRule type="cellIs" dxfId="416" priority="2301" operator="equal">
      <formula>"Pour info : Je suis (verbe 'être') ce que je suis (v. 'être'), mais je ne suis (v. 'être) pas ce que je suis (v. 'suivre'). Car si je suis (v. 'être') ce que je suis (v. 'suivre');"</formula>
    </cfRule>
  </conditionalFormatting>
  <conditionalFormatting sqref="B146:H146 C151:C152 C141:D141 C72:D72 C75:D75 C78:D78 C82:D82 C85 C89:D89 C101:D101 C104:D104 C108:D108 C111:D111 C115:D115 C118:D118 C125:D125 C130:D131 I148 B147 C156 C160:D160 C164:D164 C169:D169 C173:D173 C177:D177 C183:D183 C189:D189">
    <cfRule type="cellIs" dxfId="415" priority="2291" operator="equal">
      <formula>"Continues de chercher !"</formula>
    </cfRule>
    <cfRule type="cellIs" dxfId="414" priority="2292" operator="equal">
      <formula>"Bravo! Les 2 pèsent le même poids !! (Seul le volume sera nettement plus important pour les plumes)."</formula>
    </cfRule>
  </conditionalFormatting>
  <conditionalFormatting sqref="B146:H146 C151:C152 C141:D141 C75:D75 C78:D78 C82:D82 C85 C89:D89 C101:D101 C104:D104 C108:D108 C111:D111 C115:D115 C118:D118 C125:D125 C130:D131 I148 B147 C156 C160:D160 C164:D164 C169:D169 C173:D173 C177:D177 C183:D183 C189:D189">
    <cfRule type="cellIs" dxfId="413" priority="2287" operator="equal">
      <formula>"Bravo! En effet, si tu doubles une personne, tu prends sa place!"</formula>
    </cfRule>
  </conditionalFormatting>
  <conditionalFormatting sqref="C78:D78 C82:D82 C89:D89 C101:D101 C104:D104 C108:D108 C111:D111 C115:D115 C118:D118 C125:D125 C130:D131 C141:D141">
    <cfRule type="cellIs" dxfId="412" priority="2283" operator="equal">
      <formula>"Bravo! En effet tu ne peux pas doubler le dernier puisqu'il s'agit de toi !!"</formula>
    </cfRule>
  </conditionalFormatting>
  <conditionalFormatting sqref="C82:D82 C89:D89 C101:D101 C104:D104 C108:D108 C111:D111 C115:D115 C118:D118 C125:D125 C130:D131 C141:D141">
    <cfRule type="cellIs" dxfId="411" priority="2279" operator="equal">
      <formula>"Félicitations ! Au maximun : la première est blanche (ou noire), la seconde est à l'inverse de la première : noire (ou blanche); la troisième sera forcément noire"</formula>
    </cfRule>
    <cfRule type="cellIs" dxfId="410" priority="2280" operator="equal">
      <formula>"Bravo! En effet tu ne peux pas doubler le dernier puisqu'il s'agit de toi !!"</formula>
    </cfRule>
  </conditionalFormatting>
  <conditionalFormatting sqref="C85">
    <cfRule type="cellIs" dxfId="409" priority="2065" operator="equal">
      <formula>"C'est faux! Allez on réfléchit !!"</formula>
    </cfRule>
    <cfRule type="cellIs" dxfId="408" priority="2066" operator="equal">
      <formula>"Bravo !! Félicitations !!"</formula>
    </cfRule>
  </conditionalFormatting>
  <conditionalFormatting sqref="C89:D89 C101:D101 C104:D104 C108:D108 C111:D111 C115:D115 C118:D118 C125:D125 C130:D131 C141:D141">
    <cfRule type="cellIs" dxfId="407" priority="2274" operator="equal">
      <formula>"Continues de réfléchir!"</formula>
    </cfRule>
    <cfRule type="cellIs" dxfId="406" priority="2275" operator="equal">
      <formula>"Bravo !! Le 'A' est la première lettre de l'alphabet français (26 lettres), et si on enlève le 'a' de Paris, on obtient 'pris' !"</formula>
    </cfRule>
  </conditionalFormatting>
  <conditionalFormatting sqref="G92:G96">
    <cfRule type="cellIs" dxfId="405" priority="2272" operator="equal">
      <formula>"Non, continues de chercher!"</formula>
    </cfRule>
    <cfRule type="cellIs" dxfId="404" priority="2273" operator="equal">
      <formula>"Bravo !"</formula>
    </cfRule>
  </conditionalFormatting>
  <conditionalFormatting sqref="F93:F95">
    <cfRule type="expression" dxfId="403" priority="2270">
      <formula>G92="Bravo !"</formula>
    </cfRule>
  </conditionalFormatting>
  <conditionalFormatting sqref="C101:D101 C104:D104 C108:D108 C111:D111 C115:D115 C118:D118 C125:D125 C130:D131 C141:D141">
    <cfRule type="cellIs" dxfId="402" priority="2266" operator="equal">
      <formula>"Essayes encore, c'est facile, la réponse est dans la question !"</formula>
    </cfRule>
    <cfRule type="cellIs" dxfId="401" priority="2267" operator="equal">
      <formula>"Bravo, c'est exact ! Le Bateau flotte donc le niveau de la mer n'atteindra jamais le premier barreau !!"</formula>
    </cfRule>
  </conditionalFormatting>
  <conditionalFormatting sqref="C104:D104 C108:D108 C111:D111 C115:D115 C118:D118 C125:D125 C130:D131 C141:D141">
    <cfRule type="cellIs" dxfId="400" priority="2263" operator="equal">
      <formula>"Bravo ! C'est exact, tous les mois ont 28 jours minimun !!"</formula>
    </cfRule>
    <cfRule type="cellIs" dxfId="399" priority="2264" operator="equal">
      <formula>"Alors cette question n'est pas aussi facile que je le croyais!"</formula>
    </cfRule>
    <cfRule type="cellIs" dxfId="398" priority="2265" operator="equal">
      <formula>"Faux !"</formula>
    </cfRule>
  </conditionalFormatting>
  <conditionalFormatting sqref="C108:D108 C111:D111 C115:D115 C118:D118 C125:D125 C130:D131 C141:D141">
    <cfRule type="cellIs" dxfId="397" priority="2260" operator="equal">
      <formula>"Bravo !!"</formula>
    </cfRule>
    <cfRule type="cellIs" dxfId="396" priority="2261" operator="equal">
      <formula>"continues de chercher !"</formula>
    </cfRule>
    <cfRule type="cellIs" dxfId="395" priority="2262" operator="equal">
      <formula>"Faux !"</formula>
    </cfRule>
  </conditionalFormatting>
  <conditionalFormatting sqref="C111:D111 C115:D115 C118:D118 C125:D125 C130:D131 C141:D141">
    <cfRule type="cellIs" dxfId="394" priority="2252" operator="equal">
      <formula>"Cela n'a rien à voir avec la question !!"</formula>
    </cfRule>
    <cfRule type="cellIs" dxfId="393" priority="2258" operator="equal">
      <formula>"Et oui bien évidemment !"</formula>
    </cfRule>
    <cfRule type="cellIs" dxfId="392" priority="2259" operator="equal">
      <formula>"C'est faux !"</formula>
    </cfRule>
  </conditionalFormatting>
  <conditionalFormatting sqref="C115:D115 C118:D118 C125:D125 C130:D131 C141:D141">
    <cfRule type="cellIs" dxfId="391" priority="2256" operator="equal">
      <formula>"Réflechis !!"</formula>
    </cfRule>
    <cfRule type="cellIs" dxfId="390" priority="2257" operator="equal">
      <formula>"Bravo !! Quelle logique !!"</formula>
    </cfRule>
  </conditionalFormatting>
  <conditionalFormatting sqref="C118:D118 C125:D125 C130:D131 C141:D141">
    <cfRule type="cellIs" dxfId="389" priority="2253" operator="equal">
      <formula>"Bravo, l'eau d'est pas sèche mais mouillée !"</formula>
    </cfRule>
    <cfRule type="cellIs" dxfId="388" priority="2254" operator="equal">
      <formula>"aux, réfléchis bien !! Et relis la question !"</formula>
    </cfRule>
    <cfRule type="cellIs" dxfId="387" priority="2255" operator="equal">
      <formula>"Cela n'a rien à voir avec la question !!"</formula>
    </cfRule>
  </conditionalFormatting>
  <conditionalFormatting sqref="C125:D125 C130:D131 C141:D141">
    <cfRule type="cellIs" dxfId="386" priority="2249" operator="equal">
      <formula>"Bravo !! Quelle réflexion !"</formula>
    </cfRule>
  </conditionalFormatting>
  <conditionalFormatting sqref="F130:F131 F141">
    <cfRule type="expression" dxfId="385" priority="2239">
      <formula>$F$129="est"</formula>
    </cfRule>
    <cfRule type="expression" dxfId="384" priority="2245">
      <formula>$G$122="à"</formula>
    </cfRule>
  </conditionalFormatting>
  <conditionalFormatting sqref="C130:D131 C141:D141">
    <cfRule type="cellIs" dxfId="383" priority="2244" operator="equal">
      <formula>"mode ou moyen de 'transport' !"</formula>
    </cfRule>
  </conditionalFormatting>
  <conditionalFormatting sqref="C131:D131 C141:D141">
    <cfRule type="cellIs" dxfId="382" priority="2242" operator="equal">
      <formula>"Continues de chercher !"</formula>
    </cfRule>
    <cfRule type="cellIs" dxfId="381" priority="2243" operator="equal">
      <formula>"Bravo ! Tous pietons a le droit de remonter une ruelle en sens interdit !"</formula>
    </cfRule>
  </conditionalFormatting>
  <conditionalFormatting sqref="F130:F131 F141">
    <cfRule type="expression" dxfId="380" priority="2240">
      <formula>$G$122="à"</formula>
    </cfRule>
  </conditionalFormatting>
  <conditionalFormatting sqref="F134">
    <cfRule type="expression" dxfId="379" priority="2229">
      <formula>$G$133=" et les"</formula>
    </cfRule>
  </conditionalFormatting>
  <conditionalFormatting sqref="F135">
    <cfRule type="expression" dxfId="378" priority="2210">
      <formula>$F$134="sept"</formula>
    </cfRule>
    <cfRule type="expression" dxfId="377" priority="2228">
      <formula>$F$134=7</formula>
    </cfRule>
  </conditionalFormatting>
  <conditionalFormatting sqref="F136">
    <cfRule type="cellIs" dxfId="376" priority="2225" operator="equal">
      <formula>"Faux !!"</formula>
    </cfRule>
    <cfRule type="cellIs" dxfId="375" priority="2226" operator="equal">
      <formula>"Bravo !!"</formula>
    </cfRule>
  </conditionalFormatting>
  <conditionalFormatting sqref="I148 B147 B146:H146">
    <cfRule type="expression" dxfId="374" priority="2212">
      <formula>$I$148="Félicitations !!!!"</formula>
    </cfRule>
    <cfRule type="cellIs" dxfId="373" priority="2215" operator="equal">
      <formula>"Félicitations !!!"</formula>
    </cfRule>
    <cfRule type="cellIs" dxfId="372" priority="2216" operator="equal">
      <formula>"Félicitations !!"</formula>
    </cfRule>
    <cfRule type="cellIs" dxfId="371" priority="2221" operator="equal">
      <formula>"Félicitations !"</formula>
    </cfRule>
  </conditionalFormatting>
  <conditionalFormatting sqref="F147:F150">
    <cfRule type="expression" dxfId="370" priority="2220">
      <formula>$D$147="Félicitations !"</formula>
    </cfRule>
  </conditionalFormatting>
  <conditionalFormatting sqref="F148">
    <cfRule type="expression" dxfId="369" priority="2217">
      <formula>$D$147="Félicitations !!"</formula>
    </cfRule>
  </conditionalFormatting>
  <conditionalFormatting sqref="F149">
    <cfRule type="expression" dxfId="368" priority="2214">
      <formula>$D$147="Félicitations !!!"</formula>
    </cfRule>
  </conditionalFormatting>
  <conditionalFormatting sqref="F150">
    <cfRule type="expression" dxfId="367" priority="2213">
      <formula>$D$147="Félicitations !!!!"</formula>
    </cfRule>
  </conditionalFormatting>
  <conditionalFormatting sqref="C156 C160:D160 C164:D164 C169:D169 C173:D173 C177:D177 C183:D183 C189:D189">
    <cfRule type="cellIs" dxfId="366" priority="2211" operator="equal">
      <formula>"bravo !!"</formula>
    </cfRule>
  </conditionalFormatting>
  <conditionalFormatting sqref="C164:D164 C169:D169 C173:D173 C177:D177 C183:D183 C189:D189">
    <cfRule type="cellIs" dxfId="365" priority="2206" operator="equal">
      <formula>"Wouaah quelle logique !!"</formula>
    </cfRule>
  </conditionalFormatting>
  <conditionalFormatting sqref="E91">
    <cfRule type="expression" dxfId="364" priority="2203">
      <formula>$E$91&lt;&gt;""</formula>
    </cfRule>
  </conditionalFormatting>
  <conditionalFormatting sqref="C169:E169 C173:E173 C177:E177 C183:E183 C189:E189">
    <cfRule type="expression" dxfId="363" priority="2202">
      <formula>$C$169&lt;&gt;"Bravo ! Elles sont fère et sœur !!"</formula>
    </cfRule>
  </conditionalFormatting>
  <conditionalFormatting sqref="C173:E173 C177:E177 C183:E183 C189:E189">
    <cfRule type="expression" dxfId="362" priority="2201">
      <formula>$C$173&lt;&gt;"Bravo ! Il s'agit en effet de la lettre 'R' !"</formula>
    </cfRule>
  </conditionalFormatting>
  <conditionalFormatting sqref="C177:E177 C183:E183 C189:E189">
    <cfRule type="expression" dxfId="361" priority="2199">
      <formula>$C$177&lt;&gt;"Bravo ! Il s'agit du père de Vincent !"</formula>
    </cfRule>
  </conditionalFormatting>
  <conditionalFormatting sqref="C189">
    <cfRule type="expression" dxfId="360" priority="2197">
      <formula>$C$189&lt;&gt;"Bravo ! Rien à redire !"</formula>
    </cfRule>
  </conditionalFormatting>
  <conditionalFormatting sqref="A70:R70 C69 C72:D72 C75:D75 C78:D78 C82:D82 C89:D89 C101:D101 C104:D104 C108:D108 C111:D111 C115:D115 C118:D118 C125:D125 C130:D131 C141:D141">
    <cfRule type="cellIs" dxfId="359" priority="1990" operator="equal">
      <formula>"Continues de chercher !"</formula>
    </cfRule>
    <cfRule type="cellIs" dxfId="358" priority="1991" operator="equal">
      <formula>"Bravo encore excat !! On ne vous arrête plus"</formula>
    </cfRule>
  </conditionalFormatting>
  <conditionalFormatting sqref="C28">
    <cfRule type="cellIs" dxfId="357" priority="1843" operator="equal">
      <formula>"Une étoile certes, mais à combien de branches ?"</formula>
    </cfRule>
  </conditionalFormatting>
  <conditionalFormatting sqref="F49">
    <cfRule type="expression" dxfId="356" priority="3283">
      <formula>$B$49="du"</formula>
    </cfRule>
  </conditionalFormatting>
  <conditionalFormatting sqref="C82 C89 C101 C104 C108 C111 C115 C118 C125 C130:C131 C141">
    <cfRule type="cellIs" dxfId="355" priority="1256" operator="equal">
      <formula>"Félicitations ! Au maximun : la première est blanche (ou noire), la seconde est à l'inverse de la première : noire (ou blanche); la troisième sera forcément noire ou blanche et donc déterminera la couleur !"</formula>
    </cfRule>
    <cfRule type="cellIs" dxfId="354" priority="1257" operator="equal">
      <formula>"Bravo! En effet tu ne peux pas doubler le dernier puisqu'il s'agit de toi !!"</formula>
    </cfRule>
  </conditionalFormatting>
  <conditionalFormatting sqref="F138">
    <cfRule type="expression" dxfId="353" priority="4119">
      <formula>$A$138="As-tu une question ou une remarque ?"</formula>
    </cfRule>
  </conditionalFormatting>
  <conditionalFormatting sqref="F139">
    <cfRule type="expression" dxfId="352" priority="5077">
      <formula>$A$139="Est-ce : Pourquoi 13 couilles ? - Pourquoi que 13 !"</formula>
    </cfRule>
  </conditionalFormatting>
  <conditionalFormatting sqref="G58:R58">
    <cfRule type="expression" dxfId="351" priority="12">
      <formula>$G$58&lt;&gt;""</formula>
    </cfRule>
  </conditionalFormatting>
  <conditionalFormatting sqref="F166:R166">
    <cfRule type="expression" dxfId="350" priority="10">
      <formula>$F$166&lt;&gt;""</formula>
    </cfRule>
  </conditionalFormatting>
  <conditionalFormatting sqref="A1:R1">
    <cfRule type="expression" dxfId="349" priority="7">
      <formula>$A$1="            Questions de Cultures Générales, de Logiques et d'Enigmes."</formula>
    </cfRule>
    <cfRule type="colorScale" priority="8">
      <colorScale>
        <cfvo type="num" val="0"/>
        <cfvo type="num" val="40"/>
        <color rgb="FF0070C0"/>
        <color rgb="FF008000"/>
      </colorScale>
    </cfRule>
  </conditionalFormatting>
  <conditionalFormatting sqref="C62:R62">
    <cfRule type="expression" dxfId="348" priority="6">
      <formula>$C$62=" L' 'Heure' est en effet la bonne réponse !"</formula>
    </cfRule>
  </conditionalFormatting>
  <conditionalFormatting sqref="F61">
    <cfRule type="expression" dxfId="347" priority="5">
      <formula>$C$62=" L' 'Heure' est en effet la bonne réponse !"</formula>
    </cfRule>
  </conditionalFormatting>
  <conditionalFormatting sqref="F92:R95">
    <cfRule type="expression" dxfId="346" priority="4">
      <formula>$G$96="Bravo !! Bonus débloqué, pour y accéder cliquez ICI"</formula>
    </cfRule>
  </conditionalFormatting>
  <conditionalFormatting sqref="E168:F168">
    <cfRule type="expression" dxfId="345" priority="2">
      <formula>$C$169="Bravo ! Elles sont fère et sœur !!"</formula>
    </cfRule>
  </conditionalFormatting>
  <conditionalFormatting sqref="B218:Q218">
    <cfRule type="expression" dxfId="344" priority="1">
      <formula>$B$218="Indice...Prestataire de services"</formula>
    </cfRule>
  </conditionalFormatting>
  <dataValidations count="1">
    <dataValidation type="list" allowBlank="1" showInputMessage="1" showErrorMessage="1" sqref="F194 F210 F201">
      <formula1>"Oui"</formula1>
    </dataValidation>
  </dataValidations>
  <pageMargins left="0" right="0" top="0" bottom="0" header="0" footer="0"/>
  <pageSetup paperSize="9" scale="63" orientation="portrait" r:id="rId1"/>
  <drawing r:id="rId2"/>
</worksheet>
</file>

<file path=xl/worksheets/sheet15.xml><?xml version="1.0" encoding="utf-8"?>
<worksheet xmlns="http://schemas.openxmlformats.org/spreadsheetml/2006/main" xmlns:r="http://schemas.openxmlformats.org/officeDocument/2006/relationships">
  <sheetPr codeName="Feuil23"/>
  <dimension ref="A1:M37"/>
  <sheetViews>
    <sheetView showGridLines="0" showRowColHeaders="0" workbookViewId="0">
      <selection activeCell="J19" sqref="J19"/>
    </sheetView>
  </sheetViews>
  <sheetFormatPr baseColWidth="10" defaultColWidth="0" defaultRowHeight="15" zeroHeight="1"/>
  <cols>
    <col min="1" max="1" width="11.28515625" style="21" customWidth="1"/>
    <col min="2" max="13" width="11.42578125" style="21" customWidth="1"/>
    <col min="14" max="16384" width="11.42578125" style="21" hidden="1"/>
  </cols>
  <sheetData>
    <row r="1" spans="1:13" ht="44.25" customHeight="1">
      <c r="A1" s="677" t="s">
        <v>268</v>
      </c>
      <c r="B1" s="677"/>
      <c r="C1" s="677"/>
      <c r="D1" s="677"/>
      <c r="E1" s="677"/>
      <c r="F1" s="677"/>
      <c r="G1" s="677"/>
      <c r="H1" s="677"/>
      <c r="I1" s="677"/>
      <c r="J1" s="677"/>
      <c r="K1" s="677"/>
      <c r="L1" s="677"/>
      <c r="M1" s="677"/>
    </row>
    <row r="2" spans="1:13" ht="18.75">
      <c r="A2" s="221"/>
      <c r="B2" s="221"/>
      <c r="C2" s="221"/>
      <c r="D2" s="221"/>
      <c r="E2" s="221"/>
      <c r="F2" s="221"/>
      <c r="G2" s="221"/>
      <c r="H2" s="678" t="s">
        <v>293</v>
      </c>
      <c r="I2" s="678"/>
      <c r="J2" s="678"/>
      <c r="K2" s="678"/>
      <c r="L2" s="254"/>
      <c r="M2" s="221"/>
    </row>
    <row r="3" spans="1:13">
      <c r="A3" s="674" t="s">
        <v>261</v>
      </c>
      <c r="B3" s="674"/>
      <c r="C3" s="674"/>
      <c r="D3" s="674"/>
      <c r="E3" s="674"/>
      <c r="F3" s="674"/>
      <c r="G3" s="674"/>
      <c r="H3" s="674"/>
      <c r="I3" s="674"/>
      <c r="J3" s="674"/>
      <c r="K3" s="674"/>
      <c r="L3" s="674"/>
      <c r="M3" s="674"/>
    </row>
    <row r="4" spans="1:13">
      <c r="A4" s="674" t="s">
        <v>270</v>
      </c>
      <c r="B4" s="674"/>
      <c r="C4" s="674"/>
      <c r="D4" s="674"/>
      <c r="E4" s="674"/>
      <c r="F4" s="674"/>
      <c r="G4" s="674"/>
      <c r="H4" s="674"/>
      <c r="I4" s="674"/>
      <c r="J4" s="674"/>
      <c r="K4" s="674"/>
      <c r="L4" s="674"/>
      <c r="M4" s="674"/>
    </row>
    <row r="5" spans="1:13" ht="18.75">
      <c r="A5" s="674" t="s">
        <v>286</v>
      </c>
      <c r="B5" s="674"/>
      <c r="C5" s="674"/>
      <c r="D5" s="674"/>
      <c r="E5" s="674"/>
      <c r="F5" s="674"/>
      <c r="G5" s="674"/>
      <c r="H5" s="674"/>
      <c r="I5" s="674"/>
      <c r="J5" s="674"/>
      <c r="K5" s="674"/>
      <c r="L5" s="674"/>
      <c r="M5" s="674"/>
    </row>
    <row r="6" spans="1:13">
      <c r="A6" s="674" t="s">
        <v>262</v>
      </c>
      <c r="B6" s="674"/>
      <c r="C6" s="674"/>
      <c r="D6" s="674"/>
      <c r="E6" s="674"/>
      <c r="F6" s="674"/>
      <c r="G6" s="674"/>
      <c r="H6" s="674"/>
      <c r="I6" s="674"/>
      <c r="J6" s="674"/>
      <c r="K6" s="674"/>
      <c r="L6" s="674"/>
      <c r="M6" s="674"/>
    </row>
    <row r="7" spans="1:13">
      <c r="A7" s="674" t="s">
        <v>263</v>
      </c>
      <c r="B7" s="674"/>
      <c r="C7" s="674"/>
      <c r="D7" s="674"/>
      <c r="E7" s="674"/>
      <c r="F7" s="674"/>
      <c r="G7" s="674"/>
      <c r="H7" s="674"/>
      <c r="I7" s="674"/>
      <c r="J7" s="674"/>
      <c r="K7" s="674"/>
      <c r="L7" s="674"/>
      <c r="M7" s="674"/>
    </row>
    <row r="8" spans="1:13">
      <c r="A8" s="675"/>
      <c r="B8" s="675"/>
      <c r="C8" s="675"/>
      <c r="D8" s="675"/>
      <c r="E8" s="675"/>
      <c r="F8" s="675"/>
      <c r="G8" s="675"/>
      <c r="H8" s="675"/>
      <c r="I8" s="675"/>
      <c r="J8" s="675"/>
      <c r="K8" s="675"/>
      <c r="L8" s="675"/>
      <c r="M8" s="675"/>
    </row>
    <row r="9" spans="1:13" ht="15.75">
      <c r="A9" s="676" t="s">
        <v>264</v>
      </c>
      <c r="B9" s="676"/>
      <c r="C9" s="676"/>
      <c r="D9" s="676"/>
      <c r="E9" s="676"/>
      <c r="F9" s="676"/>
      <c r="G9" s="676"/>
      <c r="H9" s="676"/>
      <c r="I9" s="676"/>
      <c r="J9" s="676"/>
      <c r="K9" s="676"/>
      <c r="L9" s="676"/>
      <c r="M9" s="676"/>
    </row>
    <row r="10" spans="1:13">
      <c r="A10" s="675"/>
      <c r="B10" s="675"/>
      <c r="C10" s="675"/>
      <c r="D10" s="675"/>
      <c r="E10" s="675"/>
      <c r="F10" s="675"/>
      <c r="G10" s="675"/>
      <c r="H10" s="675"/>
      <c r="I10" s="675"/>
      <c r="J10" s="675"/>
      <c r="K10" s="675"/>
      <c r="L10" s="675"/>
      <c r="M10" s="675"/>
    </row>
    <row r="11" spans="1:13">
      <c r="A11" s="670" t="s">
        <v>265</v>
      </c>
      <c r="B11" s="670"/>
      <c r="C11" s="670"/>
      <c r="D11" s="670"/>
      <c r="E11" s="670"/>
      <c r="F11" s="670"/>
      <c r="G11" s="670"/>
      <c r="H11" s="670"/>
      <c r="I11" s="670"/>
      <c r="J11" s="670"/>
      <c r="K11" s="670"/>
      <c r="L11" s="670"/>
      <c r="M11" s="670"/>
    </row>
    <row r="12" spans="1:13">
      <c r="A12" s="220"/>
      <c r="B12" s="670" t="s">
        <v>266</v>
      </c>
      <c r="C12" s="670"/>
      <c r="D12" s="670"/>
      <c r="E12" s="220"/>
      <c r="F12" s="220"/>
      <c r="G12" s="220"/>
      <c r="H12" s="220"/>
      <c r="I12" s="220"/>
      <c r="J12" s="220"/>
      <c r="K12" s="220"/>
      <c r="L12" s="220"/>
      <c r="M12" s="220"/>
    </row>
    <row r="13" spans="1:13">
      <c r="A13" s="220"/>
      <c r="B13" s="670" t="s">
        <v>267</v>
      </c>
      <c r="C13" s="670"/>
      <c r="D13" s="670"/>
      <c r="E13" s="220"/>
      <c r="F13" s="220"/>
      <c r="G13" s="220"/>
      <c r="H13" s="220"/>
      <c r="I13" s="220"/>
      <c r="J13" s="220"/>
      <c r="K13" s="220"/>
      <c r="L13" s="220"/>
      <c r="M13" s="220"/>
    </row>
    <row r="14" spans="1:13">
      <c r="A14" s="668"/>
      <c r="B14" s="668"/>
      <c r="C14" s="668"/>
      <c r="D14" s="668"/>
      <c r="E14" s="668"/>
      <c r="F14" s="668"/>
      <c r="G14" s="668"/>
      <c r="H14" s="668"/>
      <c r="I14" s="668"/>
      <c r="J14" s="668"/>
      <c r="K14" s="668"/>
      <c r="L14" s="668"/>
      <c r="M14" s="668"/>
    </row>
    <row r="15" spans="1:13" ht="15.75" thickBot="1">
      <c r="A15" s="668"/>
      <c r="B15" s="668"/>
      <c r="C15" s="668"/>
      <c r="D15" s="668"/>
      <c r="E15" s="668"/>
      <c r="F15" s="668"/>
      <c r="G15" s="668"/>
      <c r="H15" s="668"/>
      <c r="I15" s="668"/>
      <c r="J15" s="668"/>
      <c r="K15" s="668"/>
      <c r="L15" s="668"/>
      <c r="M15" s="668"/>
    </row>
    <row r="16" spans="1:13" ht="15.75" thickBot="1">
      <c r="A16" s="668"/>
      <c r="B16" s="668"/>
      <c r="C16" s="668"/>
      <c r="D16" s="668"/>
      <c r="E16" s="668"/>
      <c r="F16" s="668"/>
      <c r="G16" s="668"/>
      <c r="H16" s="668"/>
      <c r="I16" s="672" t="s">
        <v>269</v>
      </c>
      <c r="J16" s="673"/>
      <c r="K16" s="227">
        <f>IF(ISERROR(SUM(K19:K24))=TRUE,"0,00 g",SUM(K19:K24))</f>
        <v>0</v>
      </c>
      <c r="L16" s="230">
        <f>IF(ISERROR(SUM(K19:K24))=TRUE,"*",IF(AND(K16=21,K19=1,K20=2,K21=3,K22=4,K23=5,K24=6),2,IF(K16=21,1,0)))</f>
        <v>0</v>
      </c>
      <c r="M16" s="217"/>
    </row>
    <row r="17" spans="1:13">
      <c r="A17" s="668"/>
      <c r="B17" s="668"/>
      <c r="C17" s="668"/>
      <c r="D17" s="668"/>
      <c r="E17" s="668"/>
      <c r="F17" s="668"/>
      <c r="G17" s="668"/>
      <c r="H17" s="668"/>
      <c r="I17" s="669" t="str">
        <f>IF(L16="*","Merci de renseigner une valeur numérique (nombre entier)",IF(L16=1,"Ok c'est 21 mais la répartition n'est pas la bonne…",""))</f>
        <v/>
      </c>
      <c r="J17" s="669"/>
      <c r="K17" s="669"/>
      <c r="L17" s="669"/>
      <c r="M17" s="669"/>
    </row>
    <row r="18" spans="1:13">
      <c r="A18" s="668"/>
      <c r="B18" s="668"/>
      <c r="C18" s="668"/>
      <c r="D18" s="668"/>
      <c r="E18" s="668"/>
      <c r="F18" s="668"/>
      <c r="G18" s="668"/>
      <c r="H18" s="668"/>
      <c r="I18" s="217"/>
      <c r="J18" s="218" t="s">
        <v>277</v>
      </c>
      <c r="K18" s="219" t="s">
        <v>92</v>
      </c>
      <c r="L18" s="671" t="str">
        <f>IF(L16=2,"Ok, c'est la bonne répartition, Bravo !!
Maintenant quel est l'impact si un sac contenait des fausses pièces?","")</f>
        <v/>
      </c>
      <c r="M18" s="671"/>
    </row>
    <row r="19" spans="1:13">
      <c r="A19" s="668"/>
      <c r="B19" s="668"/>
      <c r="C19" s="668"/>
      <c r="D19" s="668"/>
      <c r="E19" s="668"/>
      <c r="F19" s="668"/>
      <c r="G19" s="668"/>
      <c r="H19" s="668"/>
      <c r="I19" s="219" t="s">
        <v>271</v>
      </c>
      <c r="J19" s="229"/>
      <c r="K19" s="222">
        <f t="shared" ref="K19:K24" si="0">J19*1</f>
        <v>0</v>
      </c>
      <c r="L19" s="671"/>
      <c r="M19" s="671"/>
    </row>
    <row r="20" spans="1:13">
      <c r="A20" s="668"/>
      <c r="B20" s="668"/>
      <c r="C20" s="668"/>
      <c r="D20" s="668"/>
      <c r="E20" s="668"/>
      <c r="F20" s="668"/>
      <c r="G20" s="668"/>
      <c r="H20" s="668"/>
      <c r="I20" s="219" t="s">
        <v>272</v>
      </c>
      <c r="J20" s="229"/>
      <c r="K20" s="222">
        <f t="shared" si="0"/>
        <v>0</v>
      </c>
      <c r="L20" s="671"/>
      <c r="M20" s="671"/>
    </row>
    <row r="21" spans="1:13">
      <c r="A21" s="668"/>
      <c r="B21" s="668"/>
      <c r="C21" s="668"/>
      <c r="D21" s="668"/>
      <c r="E21" s="668"/>
      <c r="F21" s="668"/>
      <c r="G21" s="668"/>
      <c r="H21" s="668"/>
      <c r="I21" s="219" t="s">
        <v>273</v>
      </c>
      <c r="J21" s="229"/>
      <c r="K21" s="222">
        <f t="shared" si="0"/>
        <v>0</v>
      </c>
      <c r="L21" s="671"/>
      <c r="M21" s="671"/>
    </row>
    <row r="22" spans="1:13">
      <c r="A22" s="668"/>
      <c r="B22" s="668"/>
      <c r="C22" s="668"/>
      <c r="D22" s="668"/>
      <c r="E22" s="668"/>
      <c r="F22" s="668"/>
      <c r="G22" s="668"/>
      <c r="H22" s="668"/>
      <c r="I22" s="219" t="s">
        <v>274</v>
      </c>
      <c r="J22" s="229"/>
      <c r="K22" s="222">
        <f t="shared" si="0"/>
        <v>0</v>
      </c>
      <c r="L22" s="671"/>
      <c r="M22" s="671"/>
    </row>
    <row r="23" spans="1:13">
      <c r="A23" s="668"/>
      <c r="B23" s="668"/>
      <c r="C23" s="668"/>
      <c r="D23" s="668"/>
      <c r="E23" s="668"/>
      <c r="F23" s="668"/>
      <c r="G23" s="668"/>
      <c r="H23" s="668"/>
      <c r="I23" s="219" t="s">
        <v>275</v>
      </c>
      <c r="J23" s="229"/>
      <c r="K23" s="222">
        <f t="shared" si="0"/>
        <v>0</v>
      </c>
      <c r="L23" s="671"/>
      <c r="M23" s="671"/>
    </row>
    <row r="24" spans="1:13">
      <c r="A24" s="668"/>
      <c r="B24" s="668"/>
      <c r="C24" s="668"/>
      <c r="D24" s="668"/>
      <c r="E24" s="668"/>
      <c r="F24" s="668"/>
      <c r="G24" s="668"/>
      <c r="H24" s="668"/>
      <c r="I24" s="219" t="s">
        <v>276</v>
      </c>
      <c r="J24" s="229"/>
      <c r="K24" s="222">
        <f t="shared" si="0"/>
        <v>0</v>
      </c>
      <c r="L24" s="671"/>
      <c r="M24" s="671"/>
    </row>
    <row r="25" spans="1:13">
      <c r="A25" s="668"/>
      <c r="B25" s="668"/>
      <c r="C25" s="668"/>
      <c r="D25" s="668"/>
      <c r="E25" s="668"/>
      <c r="F25" s="668"/>
      <c r="G25" s="668"/>
      <c r="H25" s="668"/>
      <c r="I25" s="668"/>
      <c r="J25" s="668"/>
      <c r="K25" s="668"/>
      <c r="L25" s="668"/>
      <c r="M25" s="668"/>
    </row>
    <row r="26" spans="1:13">
      <c r="A26" s="668"/>
      <c r="B26" s="668"/>
      <c r="C26" s="668"/>
      <c r="D26" s="668"/>
      <c r="E26" s="668"/>
      <c r="F26" s="668"/>
      <c r="G26" s="668"/>
      <c r="H26" s="668"/>
      <c r="I26" s="668"/>
      <c r="J26" s="668"/>
      <c r="K26" s="668"/>
      <c r="L26" s="668"/>
      <c r="M26" s="668"/>
    </row>
    <row r="27" spans="1:13">
      <c r="A27" s="665" t="str">
        <f>IF(L18&lt;&gt;"","Autrement dit, qu'est ce qui changerait sur la pesée de référence ?","")</f>
        <v/>
      </c>
      <c r="B27" s="665"/>
      <c r="C27" s="665"/>
      <c r="D27" s="665"/>
      <c r="E27" s="665"/>
      <c r="F27" s="665"/>
      <c r="G27" s="665"/>
      <c r="H27" s="665"/>
      <c r="I27" s="665"/>
      <c r="J27" s="665"/>
      <c r="K27" s="665"/>
      <c r="L27" s="223"/>
      <c r="M27" s="221"/>
    </row>
    <row r="28" spans="1:13">
      <c r="A28" s="667"/>
      <c r="B28" s="667"/>
      <c r="C28" s="667"/>
      <c r="D28" s="667"/>
      <c r="E28" s="667"/>
      <c r="F28" s="667"/>
      <c r="G28" s="667"/>
      <c r="H28" s="667"/>
      <c r="I28" s="667"/>
      <c r="J28" s="667"/>
      <c r="K28" s="667"/>
      <c r="L28" s="667"/>
      <c r="M28" s="226" t="str">
        <f>IF(L29=1.5,"Total Pesée","")</f>
        <v/>
      </c>
    </row>
    <row r="29" spans="1:13">
      <c r="A29" s="665" t="str">
        <f>IF(OR(L27="poids",L27="monidre",L27="moins",L27="écart",L27="différence",L27="ecart",L27="difference",L27="faible",L27="plus faible",L27="inférieure",L27="inferieure",L27="moindre",L27="réduite",L27="reduite",L27="differente",L27="différente",),"Ok, la pesée serait plus faible ! Quelle différence obtiendrait-on, si par exemple, le sac 3 contenait des FP (avec la répartition actuelle) ?","")</f>
        <v/>
      </c>
      <c r="B29" s="665"/>
      <c r="C29" s="665"/>
      <c r="D29" s="665"/>
      <c r="E29" s="665"/>
      <c r="F29" s="665"/>
      <c r="G29" s="665"/>
      <c r="H29" s="665"/>
      <c r="I29" s="665"/>
      <c r="J29" s="665"/>
      <c r="K29" s="665"/>
      <c r="L29" s="224"/>
      <c r="M29" s="225" t="str">
        <f>IF(L29=1.5,"19,50 g","")</f>
        <v/>
      </c>
    </row>
    <row r="30" spans="1:13">
      <c r="A30" s="665" t="str">
        <f>IF(L29=1.5,"Quelle différence obtiendrait-on, si par exemple, le sac 5 contenait des FP (avec la répartition actuelle) ?","")</f>
        <v/>
      </c>
      <c r="B30" s="665"/>
      <c r="C30" s="665"/>
      <c r="D30" s="665"/>
      <c r="E30" s="665"/>
      <c r="F30" s="665"/>
      <c r="G30" s="665"/>
      <c r="H30" s="665"/>
      <c r="I30" s="665"/>
      <c r="J30" s="665"/>
      <c r="K30" s="665"/>
      <c r="L30" s="224"/>
      <c r="M30" s="225" t="str">
        <f>IF(L30=2.5,"18,50 g","")</f>
        <v/>
      </c>
    </row>
    <row r="31" spans="1:13">
      <c r="A31" s="667"/>
      <c r="B31" s="667"/>
      <c r="C31" s="667"/>
      <c r="D31" s="667"/>
      <c r="E31" s="667"/>
      <c r="F31" s="667"/>
      <c r="G31" s="667"/>
      <c r="H31" s="667"/>
      <c r="I31" s="667"/>
      <c r="J31" s="667"/>
      <c r="K31" s="667"/>
      <c r="L31" s="667"/>
      <c r="M31" s="667"/>
    </row>
    <row r="32" spans="1:13">
      <c r="A32" s="665" t="str">
        <f>IF(L30=2.5,"Dans ces 2 exemples il y a un dénominateur commun, lequel ?","")</f>
        <v/>
      </c>
      <c r="B32" s="665"/>
      <c r="C32" s="665"/>
      <c r="D32" s="665"/>
      <c r="E32" s="665"/>
      <c r="F32" s="665"/>
      <c r="G32" s="665"/>
      <c r="H32" s="665"/>
      <c r="I32" s="665"/>
      <c r="J32" s="665"/>
      <c r="K32" s="665"/>
      <c r="L32" s="224"/>
      <c r="M32" s="217"/>
    </row>
    <row r="33" spans="1:13">
      <c r="A33" s="665" t="str">
        <f>IF(L32=0.5,"Et bien oui ! Le poid d'une fausse pièce !","")</f>
        <v/>
      </c>
      <c r="B33" s="665"/>
      <c r="C33" s="665"/>
      <c r="D33" s="665"/>
      <c r="E33" s="665"/>
      <c r="F33" s="665"/>
      <c r="G33" s="665"/>
      <c r="H33" s="665"/>
      <c r="I33" s="665"/>
      <c r="J33" s="665"/>
      <c r="K33" s="665"/>
      <c r="L33" s="217"/>
      <c r="M33" s="217"/>
    </row>
    <row r="34" spans="1:13">
      <c r="A34" s="665" t="str">
        <f>IF(L32=0.5,"Et par conséquent si l'on divise ces différences obtenues par ce dénominateur commun, le résultat obtenu n'est ni plus ni moins que le n° du sac","")</f>
        <v/>
      </c>
      <c r="B34" s="665"/>
      <c r="C34" s="665"/>
      <c r="D34" s="665"/>
      <c r="E34" s="665"/>
      <c r="F34" s="665"/>
      <c r="G34" s="665"/>
      <c r="H34" s="665"/>
      <c r="I34" s="665"/>
      <c r="J34" s="665"/>
      <c r="K34" s="665"/>
      <c r="L34" s="217"/>
      <c r="M34" s="217"/>
    </row>
    <row r="35" spans="1:13">
      <c r="A35" s="666" t="str">
        <f>IF(A34&lt;&gt;"","La règle générale est : ( Pesée de référence - Pesée constatée ) / poid de référence d'une fausse pièce = N° du sac si a été attribué 1 pièce pour le sac 1, 2 pour le 2 …","")</f>
        <v/>
      </c>
      <c r="B35" s="666"/>
      <c r="C35" s="666"/>
      <c r="D35" s="666"/>
      <c r="E35" s="666"/>
      <c r="F35" s="666"/>
      <c r="G35" s="666"/>
      <c r="H35" s="666"/>
      <c r="I35" s="666"/>
      <c r="J35" s="666"/>
      <c r="K35" s="666"/>
      <c r="L35" s="666"/>
      <c r="M35" s="666"/>
    </row>
    <row r="36" spans="1:13">
      <c r="A36" s="666"/>
      <c r="B36" s="666"/>
      <c r="C36" s="666"/>
      <c r="D36" s="666"/>
      <c r="E36" s="666"/>
      <c r="F36" s="666"/>
      <c r="G36" s="666"/>
      <c r="H36" s="666"/>
      <c r="I36" s="666"/>
      <c r="J36" s="666"/>
      <c r="K36" s="666"/>
      <c r="L36" s="666"/>
      <c r="M36" s="666"/>
    </row>
    <row r="37" spans="1:13">
      <c r="A37" s="666"/>
      <c r="B37" s="666"/>
      <c r="C37" s="666"/>
      <c r="D37" s="666"/>
      <c r="E37" s="666"/>
      <c r="F37" s="666"/>
      <c r="G37" s="666"/>
      <c r="H37" s="666"/>
      <c r="I37" s="666"/>
      <c r="J37" s="666"/>
      <c r="K37" s="666"/>
      <c r="L37" s="666"/>
      <c r="M37" s="666"/>
    </row>
  </sheetData>
  <sheetProtection password="8B0A" sheet="1" objects="1" scenarios="1"/>
  <mergeCells count="29">
    <mergeCell ref="A6:M6"/>
    <mergeCell ref="A1:M1"/>
    <mergeCell ref="A3:M3"/>
    <mergeCell ref="A4:M4"/>
    <mergeCell ref="A5:M5"/>
    <mergeCell ref="H2:K2"/>
    <mergeCell ref="A7:M7"/>
    <mergeCell ref="A8:M8"/>
    <mergeCell ref="A9:M9"/>
    <mergeCell ref="A10:M10"/>
    <mergeCell ref="A11:M11"/>
    <mergeCell ref="B12:D12"/>
    <mergeCell ref="B13:D13"/>
    <mergeCell ref="A14:H25"/>
    <mergeCell ref="I14:M15"/>
    <mergeCell ref="L18:M24"/>
    <mergeCell ref="I25:M25"/>
    <mergeCell ref="I16:J16"/>
    <mergeCell ref="A26:M26"/>
    <mergeCell ref="A27:K27"/>
    <mergeCell ref="A29:K29"/>
    <mergeCell ref="A30:K30"/>
    <mergeCell ref="I17:M17"/>
    <mergeCell ref="A32:K32"/>
    <mergeCell ref="A33:K33"/>
    <mergeCell ref="A34:K34"/>
    <mergeCell ref="A35:M37"/>
    <mergeCell ref="A28:L28"/>
    <mergeCell ref="A31:M31"/>
  </mergeCells>
  <conditionalFormatting sqref="L16">
    <cfRule type="iconSet" priority="29">
      <iconSet showValue="0">
        <cfvo type="percent" val="0"/>
        <cfvo type="num" val="1"/>
        <cfvo type="num" val="2"/>
      </iconSet>
    </cfRule>
  </conditionalFormatting>
  <conditionalFormatting sqref="L27">
    <cfRule type="expression" dxfId="343" priority="28">
      <formula>AND($A$27&lt;&gt;"",$L$27="")</formula>
    </cfRule>
  </conditionalFormatting>
  <conditionalFormatting sqref="L29">
    <cfRule type="expression" dxfId="342" priority="27">
      <formula>AND($A$29&lt;&gt;"",$L$29="")</formula>
    </cfRule>
  </conditionalFormatting>
  <conditionalFormatting sqref="L30">
    <cfRule type="expression" dxfId="341" priority="26">
      <formula>AND($A$30&lt;&gt;"",$L$30="")</formula>
    </cfRule>
  </conditionalFormatting>
  <conditionalFormatting sqref="L32">
    <cfRule type="expression" dxfId="340" priority="23">
      <formula>AND($A$32&lt;&gt;"",$L$32="")</formula>
    </cfRule>
  </conditionalFormatting>
  <conditionalFormatting sqref="J19">
    <cfRule type="expression" dxfId="339" priority="20">
      <formula>$J$19&gt;2</formula>
    </cfRule>
    <cfRule type="expression" dxfId="338" priority="21">
      <formula>$J$19=2</formula>
    </cfRule>
    <cfRule type="expression" dxfId="337" priority="22">
      <formula>$J$19=1</formula>
    </cfRule>
  </conditionalFormatting>
  <conditionalFormatting sqref="J20">
    <cfRule type="expression" dxfId="336" priority="17">
      <formula>$J$20&gt;3</formula>
    </cfRule>
    <cfRule type="expression" dxfId="335" priority="18">
      <formula>OR($J$20=1,$J$20=3)</formula>
    </cfRule>
    <cfRule type="expression" dxfId="334" priority="19">
      <formula>$J$20=2</formula>
    </cfRule>
  </conditionalFormatting>
  <conditionalFormatting sqref="J21">
    <cfRule type="expression" dxfId="333" priority="14">
      <formula>OR($J$21=1,$J$21&gt;4)</formula>
    </cfRule>
    <cfRule type="expression" dxfId="332" priority="15">
      <formula>OR($J$21=2,$J$21=4)</formula>
    </cfRule>
    <cfRule type="expression" dxfId="331" priority="16">
      <formula>$J$21=3</formula>
    </cfRule>
  </conditionalFormatting>
  <conditionalFormatting sqref="J22">
    <cfRule type="expression" dxfId="330" priority="11">
      <formula>OR($J$22=1,$J$22=2,$J$22&gt;5)</formula>
    </cfRule>
    <cfRule type="expression" dxfId="329" priority="12">
      <formula>OR($J$22=3,$J$22=5)</formula>
    </cfRule>
    <cfRule type="expression" dxfId="328" priority="13">
      <formula>$J$22=4</formula>
    </cfRule>
  </conditionalFormatting>
  <conditionalFormatting sqref="J23">
    <cfRule type="expression" dxfId="327" priority="8">
      <formula>OR($J$23=1,$J$23=2,$J$23=3,$J$23&gt;6)</formula>
    </cfRule>
    <cfRule type="expression" dxfId="326" priority="9">
      <formula>OR($J$23=4,$J$23=6)</formula>
    </cfRule>
    <cfRule type="expression" dxfId="325" priority="10">
      <formula>$J$23=5</formula>
    </cfRule>
  </conditionalFormatting>
  <conditionalFormatting sqref="J24">
    <cfRule type="expression" dxfId="324" priority="5">
      <formula>OR($J$24=1,$J$24=2,$J$24=3,$J$24=4,$J$24&gt;7)</formula>
    </cfRule>
    <cfRule type="expression" dxfId="323" priority="6">
      <formula>OR($J$24=5,$J$24=7)</formula>
    </cfRule>
    <cfRule type="expression" dxfId="322" priority="7">
      <formula>$J$24=6</formula>
    </cfRule>
  </conditionalFormatting>
  <conditionalFormatting sqref="I17:M17">
    <cfRule type="expression" dxfId="321" priority="4">
      <formula>$L$16="*"</formula>
    </cfRule>
  </conditionalFormatting>
  <conditionalFormatting sqref="L2">
    <cfRule type="expression" dxfId="320" priority="1">
      <formula>$H$2&lt;&gt;""</formula>
    </cfRule>
  </conditionalFormatting>
  <dataValidations count="1">
    <dataValidation type="list" allowBlank="1" showInputMessage="1" showErrorMessage="1" sqref="L2">
      <formula1>"oui,non"</formula1>
    </dataValidation>
  </dataValidations>
  <pageMargins left="0.7" right="0.7" top="0.75" bottom="0.75" header="0.3" footer="0.3"/>
  <pageSetup paperSize="9" orientation="portrait" verticalDpi="0" r:id="rId1"/>
  <drawing r:id="rId2"/>
  <legacyDrawing r:id="rId3"/>
</worksheet>
</file>

<file path=xl/worksheets/sheet16.xml><?xml version="1.0" encoding="utf-8"?>
<worksheet xmlns="http://schemas.openxmlformats.org/spreadsheetml/2006/main" xmlns:r="http://schemas.openxmlformats.org/officeDocument/2006/relationships">
  <sheetPr codeName="Feuil21"/>
  <dimension ref="A1:Q22"/>
  <sheetViews>
    <sheetView showGridLines="0" showRowColHeaders="0" zoomScaleNormal="100" workbookViewId="0">
      <selection sqref="A1:I1"/>
    </sheetView>
  </sheetViews>
  <sheetFormatPr baseColWidth="10" defaultColWidth="0" defaultRowHeight="15" zeroHeight="1"/>
  <cols>
    <col min="1" max="8" width="20.7109375" style="681" customWidth="1"/>
    <col min="9" max="9" width="9.5703125" style="681" customWidth="1"/>
    <col min="10" max="10" width="20.7109375" style="21" hidden="1" customWidth="1"/>
    <col min="11" max="17" width="0" style="21" hidden="1" customWidth="1"/>
    <col min="18" max="16384" width="11.42578125" style="21" hidden="1"/>
  </cols>
  <sheetData>
    <row r="1" spans="1:15" ht="46.5" customHeight="1">
      <c r="A1" s="679" t="s">
        <v>238</v>
      </c>
      <c r="B1" s="679"/>
      <c r="C1" s="679"/>
      <c r="D1" s="679"/>
      <c r="E1" s="679"/>
      <c r="F1" s="679"/>
      <c r="G1" s="679"/>
      <c r="H1" s="679"/>
      <c r="I1" s="679"/>
      <c r="J1" s="212"/>
      <c r="K1" s="212"/>
      <c r="L1" s="212"/>
      <c r="M1" s="212"/>
      <c r="N1" s="212"/>
      <c r="O1" s="212"/>
    </row>
    <row r="2" spans="1:15">
      <c r="A2" s="680" t="s">
        <v>239</v>
      </c>
      <c r="B2" s="680"/>
      <c r="C2" s="680"/>
      <c r="D2" s="680"/>
      <c r="E2" s="680"/>
      <c r="F2" s="680"/>
      <c r="G2" s="680"/>
      <c r="H2" s="680"/>
      <c r="I2" s="680"/>
      <c r="J2" s="212"/>
      <c r="K2" s="212"/>
      <c r="L2" s="212"/>
      <c r="M2" s="212"/>
      <c r="N2" s="212"/>
      <c r="O2" s="212"/>
    </row>
    <row r="3" spans="1:15">
      <c r="A3" s="680" t="s">
        <v>240</v>
      </c>
      <c r="B3" s="680"/>
      <c r="C3" s="680"/>
      <c r="D3" s="680"/>
      <c r="E3" s="680"/>
      <c r="F3" s="680"/>
      <c r="G3" s="680"/>
      <c r="H3" s="680"/>
      <c r="I3" s="680"/>
      <c r="J3" s="212"/>
      <c r="K3" s="212"/>
      <c r="L3" s="212"/>
      <c r="M3" s="212"/>
      <c r="N3" s="212"/>
      <c r="O3" s="212"/>
    </row>
    <row r="4" spans="1:15" ht="18.75">
      <c r="A4" s="682" t="s">
        <v>241</v>
      </c>
      <c r="B4" s="682"/>
      <c r="C4" s="682"/>
      <c r="D4" s="682"/>
      <c r="E4" s="682"/>
      <c r="F4" s="682"/>
      <c r="G4" s="682"/>
      <c r="H4" s="682"/>
      <c r="I4" s="682"/>
      <c r="J4" s="212"/>
      <c r="K4" s="212"/>
      <c r="L4" s="212"/>
      <c r="M4" s="212"/>
      <c r="N4" s="212"/>
      <c r="O4" s="212"/>
    </row>
    <row r="5" spans="1:15" ht="179.25" customHeight="1">
      <c r="J5" s="212"/>
      <c r="K5" s="212"/>
      <c r="L5" s="212"/>
      <c r="M5" s="212"/>
      <c r="N5" s="212"/>
      <c r="O5" s="212"/>
    </row>
    <row r="6" spans="1:15" ht="15.75">
      <c r="A6" s="249" t="s">
        <v>242</v>
      </c>
      <c r="B6" s="248"/>
      <c r="C6" s="249" t="s">
        <v>243</v>
      </c>
      <c r="D6" s="248"/>
      <c r="E6" s="249" t="s">
        <v>244</v>
      </c>
      <c r="F6" s="248"/>
      <c r="G6" s="249" t="s">
        <v>245</v>
      </c>
      <c r="H6" s="248"/>
      <c r="I6" s="213"/>
    </row>
    <row r="7" spans="1:15" s="215" customFormat="1">
      <c r="A7" s="214"/>
      <c r="B7" s="214">
        <f>IF(B6="Heure + 10 min",1,0)</f>
        <v>0</v>
      </c>
      <c r="C7" s="214"/>
      <c r="D7" s="214">
        <f>IF(D6="à la bonne heure",1,0)</f>
        <v>0</v>
      </c>
      <c r="E7" s="214"/>
      <c r="F7" s="214">
        <f>IF(F6="heure - 15 min",1,0)</f>
        <v>0</v>
      </c>
      <c r="G7" s="214"/>
      <c r="H7" s="214">
        <f>IF(H6="heure - 5 min",1,0)</f>
        <v>0</v>
      </c>
      <c r="I7" s="214"/>
    </row>
    <row r="8" spans="1:15" ht="15.75">
      <c r="A8" s="685" t="str">
        <f>IF(AND(B6&lt;&gt;"",D6&lt;&gt;"",F6&lt;&gt;"",H6&lt;&gt;""),IF(OR(B6=D6,B6=F6,B6=H6,D6=F6,D6=H6,F6=H6),"Il semblerait que vous ayez renseigné 2 fois ou + la même réponse!",IF(AND(B7+D7+F7+H7&lt;&gt;4),"Désolé il semblerait qu'il y ait : "&amp;4-B7-D7-F7-H7&amp;" erreurs !","")),"Veuillez saisir vos réponses")&amp;IF(AND(B6&lt;&gt;"",D6&lt;&gt;"",F6&lt;&gt;"",H6&lt;&gt;"",B7+D7+F7+H7=4),"Félicitations !!  Et oui, il est 10h10 (pendule 2), la pendule 1 affiche 10h20 (+10 min), la pendule 3 affiche 9h55 (-15min) et la pendule 4 affiche 10h05 (-5 min)","")</f>
        <v>Veuillez saisir vos réponses</v>
      </c>
      <c r="B8" s="685"/>
      <c r="C8" s="685"/>
      <c r="D8" s="685"/>
      <c r="E8" s="685"/>
      <c r="F8" s="685"/>
      <c r="G8" s="685"/>
      <c r="H8" s="685"/>
      <c r="I8" s="685"/>
    </row>
    <row r="9" spans="1:15" ht="17.25">
      <c r="A9" s="683"/>
      <c r="B9" s="683"/>
      <c r="C9" s="683"/>
      <c r="D9" s="683"/>
      <c r="E9" s="683"/>
      <c r="F9" s="683"/>
      <c r="G9" s="683"/>
      <c r="H9" s="683"/>
      <c r="I9" s="683"/>
    </row>
    <row r="10" spans="1:15" ht="18.75">
      <c r="A10" s="683"/>
      <c r="B10" s="683"/>
      <c r="C10" s="684" t="s">
        <v>293</v>
      </c>
      <c r="D10" s="684"/>
      <c r="E10" s="684"/>
      <c r="F10" s="425"/>
      <c r="G10" s="683"/>
      <c r="H10" s="683"/>
      <c r="I10" s="683"/>
    </row>
    <row r="11" spans="1:15"/>
    <row r="12" spans="1:15" ht="15" hidden="1" customHeight="1"/>
    <row r="13" spans="1:15" ht="15" hidden="1" customHeight="1"/>
    <row r="14" spans="1:15" ht="15" hidden="1" customHeight="1"/>
    <row r="15" spans="1:15" ht="15" hidden="1" customHeight="1"/>
    <row r="16" spans="1:15" ht="15" hidden="1" customHeight="1"/>
    <row r="17" ht="15" hidden="1" customHeight="1"/>
    <row r="18" ht="15" hidden="1" customHeight="1"/>
    <row r="19" ht="15" hidden="1" customHeight="1"/>
    <row r="20" ht="15" hidden="1" customHeight="1"/>
    <row r="21" ht="15" hidden="1" customHeight="1"/>
    <row r="22" ht="15" hidden="1" customHeight="1"/>
  </sheetData>
  <sheetProtection password="8B0A" sheet="1" objects="1" scenarios="1"/>
  <mergeCells count="11">
    <mergeCell ref="A11:I1048576"/>
    <mergeCell ref="A10:B10"/>
    <mergeCell ref="G10:I10"/>
    <mergeCell ref="C10:E10"/>
    <mergeCell ref="A8:I8"/>
    <mergeCell ref="A9:I9"/>
    <mergeCell ref="A1:I1"/>
    <mergeCell ref="A2:I2"/>
    <mergeCell ref="A5:I5"/>
    <mergeCell ref="A3:I3"/>
    <mergeCell ref="A4:I4"/>
  </mergeCells>
  <conditionalFormatting sqref="A8:I8">
    <cfRule type="expression" dxfId="319" priority="3">
      <formula>$A$8="Félicitations !!  Et oui, il est 10h10 (pendule 2), la pendule 1 affiche 10h20 (+10 min), la pendule 3 affiche 9h55 (-15min) et la pendule 4 affiche 10h05 (-5 min)"</formula>
    </cfRule>
    <cfRule type="expression" dxfId="318" priority="4">
      <formula>$A$8="Veuillez saisir vos réponses"</formula>
    </cfRule>
  </conditionalFormatting>
  <dataValidations count="2">
    <dataValidation type="list" allowBlank="1" showInputMessage="1" showErrorMessage="1" sqref="F10">
      <formula1>"oui,non"</formula1>
    </dataValidation>
    <dataValidation type="list" allowBlank="1" showInputMessage="1" showErrorMessage="1" sqref="H6 B6 D6 F6">
      <formula1>"à la bonne heure, heure - 15 min, heure - 5 min, heure + 10 min"</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sheetPr codeName="Feuil16"/>
  <dimension ref="A1:AD51"/>
  <sheetViews>
    <sheetView showGridLines="0" showRowColHeaders="0" workbookViewId="0">
      <selection activeCell="I48" sqref="I48:AC48"/>
    </sheetView>
  </sheetViews>
  <sheetFormatPr baseColWidth="10" defaultColWidth="0" defaultRowHeight="15" zeroHeight="1"/>
  <cols>
    <col min="1" max="1" width="5" style="429" customWidth="1"/>
    <col min="2" max="2" width="11.42578125" style="429" customWidth="1"/>
    <col min="3" max="28" width="4.7109375" style="429" customWidth="1"/>
    <col min="29" max="29" width="4.5703125" style="429" customWidth="1"/>
    <col min="30" max="30" width="8.7109375" style="429" customWidth="1"/>
    <col min="31" max="16384" width="5.7109375" style="429" hidden="1"/>
  </cols>
  <sheetData>
    <row r="1" spans="1:30" ht="41.25" customHeight="1">
      <c r="A1" s="693" t="s">
        <v>157</v>
      </c>
      <c r="B1" s="693"/>
      <c r="C1" s="693"/>
      <c r="D1" s="693"/>
      <c r="E1" s="693"/>
      <c r="F1" s="693"/>
      <c r="G1" s="693"/>
      <c r="H1" s="693"/>
      <c r="I1" s="693"/>
      <c r="J1" s="693"/>
      <c r="K1" s="693"/>
      <c r="L1" s="693"/>
      <c r="M1" s="693"/>
      <c r="N1" s="693"/>
      <c r="O1" s="693"/>
      <c r="P1" s="693"/>
      <c r="Q1" s="693"/>
      <c r="R1" s="693"/>
      <c r="S1" s="693"/>
      <c r="T1" s="693"/>
      <c r="U1" s="693"/>
      <c r="V1" s="693"/>
      <c r="W1" s="693"/>
      <c r="X1" s="693"/>
      <c r="Y1" s="693"/>
      <c r="Z1" s="693"/>
      <c r="AA1" s="693"/>
      <c r="AB1" s="693"/>
      <c r="AC1" s="693"/>
      <c r="AD1" s="141"/>
    </row>
    <row r="2" spans="1:30" ht="6.75" customHeight="1">
      <c r="A2" s="686"/>
      <c r="B2" s="686"/>
      <c r="C2" s="686"/>
      <c r="D2" s="686"/>
      <c r="E2" s="686"/>
      <c r="F2" s="686"/>
      <c r="G2" s="686"/>
      <c r="H2" s="686"/>
      <c r="I2" s="686"/>
      <c r="J2" s="686"/>
      <c r="K2" s="686"/>
      <c r="L2" s="686"/>
      <c r="M2" s="686"/>
      <c r="N2" s="686"/>
      <c r="O2" s="686"/>
      <c r="P2" s="686"/>
      <c r="Q2" s="686"/>
      <c r="R2" s="686"/>
      <c r="S2" s="686"/>
      <c r="T2" s="686"/>
      <c r="U2" s="686"/>
      <c r="V2" s="686"/>
      <c r="W2" s="686"/>
      <c r="X2" s="686"/>
      <c r="Y2" s="686"/>
      <c r="Z2" s="686"/>
      <c r="AA2" s="686"/>
      <c r="AB2" s="686"/>
      <c r="AC2" s="686"/>
      <c r="AD2" s="141"/>
    </row>
    <row r="3" spans="1:30" ht="18.75">
      <c r="A3" s="247"/>
      <c r="B3" s="684" t="s">
        <v>293</v>
      </c>
      <c r="C3" s="684"/>
      <c r="D3" s="684"/>
      <c r="E3" s="684"/>
      <c r="F3" s="684"/>
      <c r="G3" s="684"/>
      <c r="H3" s="684"/>
      <c r="I3" s="696"/>
      <c r="J3" s="696"/>
      <c r="K3" s="247"/>
      <c r="L3" s="247"/>
      <c r="M3" s="247"/>
      <c r="N3" s="247"/>
      <c r="O3" s="247"/>
      <c r="P3" s="247"/>
      <c r="Q3" s="247"/>
      <c r="R3" s="247"/>
      <c r="S3" s="247"/>
      <c r="T3" s="247"/>
      <c r="U3" s="247"/>
      <c r="V3" s="247"/>
      <c r="W3" s="247"/>
      <c r="X3" s="247"/>
      <c r="Y3" s="247"/>
      <c r="Z3" s="247"/>
      <c r="AA3" s="247"/>
      <c r="AB3" s="247"/>
      <c r="AC3" s="247"/>
      <c r="AD3" s="141"/>
    </row>
    <row r="4" spans="1:30" ht="21">
      <c r="A4" s="694" t="s">
        <v>176</v>
      </c>
      <c r="B4" s="694"/>
      <c r="C4" s="694"/>
      <c r="D4" s="694"/>
      <c r="E4" s="694"/>
      <c r="F4" s="694"/>
      <c r="G4" s="694"/>
      <c r="H4" s="694"/>
      <c r="I4" s="694"/>
      <c r="J4" s="694"/>
      <c r="K4" s="694"/>
      <c r="L4" s="694"/>
      <c r="M4" s="694"/>
      <c r="N4" s="694"/>
      <c r="O4" s="694"/>
      <c r="P4" s="694"/>
      <c r="Q4" s="694"/>
      <c r="R4" s="694"/>
      <c r="S4" s="694"/>
      <c r="T4" s="694"/>
      <c r="U4" s="694"/>
      <c r="V4" s="694"/>
      <c r="W4" s="694"/>
      <c r="X4" s="694"/>
      <c r="Y4" s="694"/>
      <c r="Z4" s="694"/>
      <c r="AA4" s="694"/>
      <c r="AB4" s="694"/>
      <c r="AC4" s="694"/>
      <c r="AD4" s="141"/>
    </row>
    <row r="5" spans="1:30">
      <c r="A5" s="686"/>
      <c r="B5" s="686"/>
      <c r="C5" s="686"/>
      <c r="D5" s="686"/>
      <c r="E5" s="686"/>
      <c r="F5" s="686"/>
      <c r="G5" s="686"/>
      <c r="H5" s="686"/>
      <c r="I5" s="686"/>
      <c r="J5" s="686"/>
      <c r="K5" s="686"/>
      <c r="L5" s="686"/>
      <c r="M5" s="686"/>
      <c r="N5" s="686"/>
      <c r="O5" s="686"/>
      <c r="P5" s="686"/>
      <c r="Q5" s="686"/>
      <c r="R5" s="686"/>
      <c r="S5" s="686"/>
      <c r="T5" s="686"/>
      <c r="U5" s="686"/>
      <c r="V5" s="686"/>
      <c r="W5" s="686"/>
      <c r="X5" s="686"/>
      <c r="Y5" s="686"/>
      <c r="Z5" s="686"/>
      <c r="AA5" s="686"/>
      <c r="AB5" s="686"/>
      <c r="AC5" s="686"/>
      <c r="AD5" s="141"/>
    </row>
    <row r="6" spans="1:30">
      <c r="A6" s="142"/>
      <c r="B6" s="687" t="s">
        <v>177</v>
      </c>
      <c r="C6" s="687"/>
      <c r="D6" s="687"/>
      <c r="E6" s="687"/>
      <c r="F6" s="687"/>
      <c r="G6" s="687"/>
      <c r="H6" s="687"/>
      <c r="I6" s="687"/>
      <c r="J6" s="687"/>
      <c r="K6" s="687"/>
      <c r="L6" s="687"/>
      <c r="M6" s="687"/>
      <c r="N6" s="687"/>
      <c r="O6" s="687"/>
      <c r="P6" s="687"/>
      <c r="Q6" s="687"/>
      <c r="R6" s="687"/>
      <c r="S6" s="687"/>
      <c r="T6" s="687"/>
      <c r="U6" s="687"/>
      <c r="V6" s="687"/>
      <c r="W6" s="687"/>
      <c r="X6" s="687"/>
      <c r="Y6" s="687"/>
      <c r="Z6" s="687"/>
      <c r="AA6" s="687"/>
      <c r="AB6" s="687"/>
      <c r="AC6" s="687"/>
      <c r="AD6" s="141"/>
    </row>
    <row r="7" spans="1:30" ht="15.75" thickBot="1">
      <c r="A7" s="686"/>
      <c r="B7" s="686"/>
      <c r="C7" s="686"/>
      <c r="D7" s="686"/>
      <c r="E7" s="686"/>
      <c r="F7" s="686"/>
      <c r="G7" s="686"/>
      <c r="H7" s="686"/>
      <c r="I7" s="686"/>
      <c r="J7" s="686"/>
      <c r="K7" s="686"/>
      <c r="L7" s="686"/>
      <c r="M7" s="686"/>
      <c r="N7" s="686"/>
      <c r="O7" s="686"/>
      <c r="P7" s="686"/>
      <c r="Q7" s="686"/>
      <c r="R7" s="686"/>
      <c r="S7" s="686"/>
      <c r="T7" s="686"/>
      <c r="U7" s="686"/>
      <c r="V7" s="686"/>
      <c r="W7" s="686"/>
      <c r="X7" s="686"/>
      <c r="Y7" s="686"/>
      <c r="Z7" s="686"/>
      <c r="AA7" s="686"/>
      <c r="AB7" s="686"/>
      <c r="AC7" s="686"/>
      <c r="AD7" s="141"/>
    </row>
    <row r="8" spans="1:30" ht="15.75" thickBot="1">
      <c r="A8" s="142"/>
      <c r="B8" s="165" t="s">
        <v>165</v>
      </c>
      <c r="C8" s="143" t="s">
        <v>150</v>
      </c>
      <c r="D8" s="144" t="s">
        <v>94</v>
      </c>
      <c r="E8" s="144" t="s">
        <v>94</v>
      </c>
      <c r="F8" s="153"/>
      <c r="G8" s="153"/>
      <c r="H8" s="153"/>
      <c r="I8" s="154"/>
      <c r="J8" s="688" t="str">
        <f>IF(AND(F8="j",G8="v",H8="s",I8="d"),"Bravo, vous avez découvert qu'il s'agissait de la première lettre des jours de la semaine !","")</f>
        <v/>
      </c>
      <c r="K8" s="689"/>
      <c r="L8" s="689"/>
      <c r="M8" s="689"/>
      <c r="N8" s="689"/>
      <c r="O8" s="689"/>
      <c r="P8" s="689"/>
      <c r="Q8" s="689"/>
      <c r="R8" s="689"/>
      <c r="S8" s="689"/>
      <c r="T8" s="689"/>
      <c r="U8" s="689"/>
      <c r="V8" s="689"/>
      <c r="W8" s="689"/>
      <c r="X8" s="689"/>
      <c r="Y8" s="689"/>
      <c r="Z8" s="689"/>
      <c r="AA8" s="689"/>
      <c r="AB8" s="689"/>
      <c r="AC8" s="689"/>
      <c r="AD8" s="141"/>
    </row>
    <row r="9" spans="1:30">
      <c r="A9" s="142"/>
      <c r="B9" s="165"/>
      <c r="C9" s="142"/>
      <c r="D9" s="142"/>
      <c r="E9" s="142"/>
      <c r="F9" s="145" t="str">
        <f>IF(F8="","",IF(F8="j",1,-1))</f>
        <v/>
      </c>
      <c r="G9" s="145" t="str">
        <f>IF(G8="","",IF(G8="v",1,-1))</f>
        <v/>
      </c>
      <c r="H9" s="145" t="str">
        <f>IF(H8="","",IF(H8="s",1,-1))</f>
        <v/>
      </c>
      <c r="I9" s="145" t="str">
        <f>IF(I8="","",IF(I8="d",1,-1))</f>
        <v/>
      </c>
      <c r="J9" s="142"/>
      <c r="K9" s="146"/>
      <c r="L9" s="146"/>
      <c r="M9" s="146"/>
      <c r="N9" s="146"/>
      <c r="O9" s="146"/>
      <c r="P9" s="146"/>
      <c r="Q9" s="146"/>
      <c r="R9" s="146"/>
      <c r="S9" s="146"/>
      <c r="T9" s="146"/>
      <c r="U9" s="146"/>
      <c r="V9" s="146"/>
      <c r="W9" s="146"/>
      <c r="X9" s="146"/>
      <c r="Y9" s="146"/>
      <c r="Z9" s="146"/>
      <c r="AA9" s="146"/>
      <c r="AB9" s="146"/>
      <c r="AC9" s="146"/>
      <c r="AD9" s="141"/>
    </row>
    <row r="10" spans="1:30" ht="15.75" thickBot="1">
      <c r="A10" s="686"/>
      <c r="B10" s="686"/>
      <c r="C10" s="686"/>
      <c r="D10" s="686"/>
      <c r="E10" s="686"/>
      <c r="F10" s="686"/>
      <c r="G10" s="686"/>
      <c r="H10" s="686"/>
      <c r="I10" s="686"/>
      <c r="J10" s="686"/>
      <c r="K10" s="686"/>
      <c r="L10" s="686"/>
      <c r="M10" s="686"/>
      <c r="N10" s="686"/>
      <c r="O10" s="686"/>
      <c r="P10" s="686"/>
      <c r="Q10" s="686"/>
      <c r="R10" s="686"/>
      <c r="S10" s="686"/>
      <c r="T10" s="686"/>
      <c r="U10" s="686"/>
      <c r="V10" s="686"/>
      <c r="W10" s="686"/>
      <c r="X10" s="686"/>
      <c r="Y10" s="686"/>
      <c r="Z10" s="686"/>
      <c r="AA10" s="686"/>
      <c r="AB10" s="686"/>
      <c r="AC10" s="686"/>
      <c r="AD10" s="141"/>
    </row>
    <row r="11" spans="1:30" ht="15.75" thickBot="1">
      <c r="A11" s="142"/>
      <c r="B11" s="165" t="s">
        <v>166</v>
      </c>
      <c r="C11" s="143" t="s">
        <v>151</v>
      </c>
      <c r="D11" s="144" t="s">
        <v>158</v>
      </c>
      <c r="E11" s="144" t="s">
        <v>94</v>
      </c>
      <c r="F11" s="153"/>
      <c r="G11" s="153"/>
      <c r="H11" s="153"/>
      <c r="I11" s="153"/>
      <c r="J11" s="153"/>
      <c r="K11" s="153"/>
      <c r="L11" s="153"/>
      <c r="M11" s="153"/>
      <c r="N11" s="154"/>
      <c r="O11" s="688" t="str">
        <f>IF(AND(F11="a",G11="m",H11="j",I11="j",J11="a",K11="s",L11="o",M11="n",N11="d"),"Bravo, il s'agit bien de la première lettre des mois d'une année!","")</f>
        <v/>
      </c>
      <c r="P11" s="689"/>
      <c r="Q11" s="689"/>
      <c r="R11" s="689"/>
      <c r="S11" s="689"/>
      <c r="T11" s="689"/>
      <c r="U11" s="689"/>
      <c r="V11" s="689"/>
      <c r="W11" s="689"/>
      <c r="X11" s="689"/>
      <c r="Y11" s="689"/>
      <c r="Z11" s="689"/>
      <c r="AA11" s="689"/>
      <c r="AB11" s="689"/>
      <c r="AC11" s="689"/>
      <c r="AD11" s="141"/>
    </row>
    <row r="12" spans="1:30">
      <c r="A12" s="142"/>
      <c r="B12" s="165"/>
      <c r="C12" s="142"/>
      <c r="D12" s="142"/>
      <c r="E12" s="142"/>
      <c r="F12" s="145" t="str">
        <f>IF(F11="","",IF(F11="A",1,-1))</f>
        <v/>
      </c>
      <c r="G12" s="145" t="str">
        <f>IF(G11="","",IF(G11="M",1,-1))</f>
        <v/>
      </c>
      <c r="H12" s="145" t="str">
        <f>IF(H11="","",IF(H11="j",1,-1))</f>
        <v/>
      </c>
      <c r="I12" s="145" t="str">
        <f>IF(I11="","",IF(I11="j",1,-1))</f>
        <v/>
      </c>
      <c r="J12" s="145" t="str">
        <f>IF(J11="","",IF(J11="A",1,-1))</f>
        <v/>
      </c>
      <c r="K12" s="145" t="str">
        <f>IF(K11="","",IF(K11="S",1,-1))</f>
        <v/>
      </c>
      <c r="L12" s="145" t="str">
        <f>IF(L11="","",IF(L11="O",1,-1))</f>
        <v/>
      </c>
      <c r="M12" s="145" t="str">
        <f>IF(M11="","",IF(M11="N",1,-1))</f>
        <v/>
      </c>
      <c r="N12" s="145" t="str">
        <f>IF(N11="","",IF(N11="D",1,-1))</f>
        <v/>
      </c>
      <c r="O12" s="147"/>
      <c r="P12" s="145"/>
      <c r="Q12" s="145"/>
      <c r="R12" s="145"/>
      <c r="S12" s="145"/>
      <c r="T12" s="145"/>
      <c r="U12" s="145"/>
      <c r="V12" s="145"/>
      <c r="W12" s="145"/>
      <c r="X12" s="145"/>
      <c r="Y12" s="145"/>
      <c r="Z12" s="145"/>
      <c r="AA12" s="145"/>
      <c r="AB12" s="145"/>
      <c r="AC12" s="145"/>
      <c r="AD12" s="141"/>
    </row>
    <row r="13" spans="1:30" ht="15.75" thickBot="1">
      <c r="A13" s="686"/>
      <c r="B13" s="686"/>
      <c r="C13" s="686"/>
      <c r="D13" s="686"/>
      <c r="E13" s="686"/>
      <c r="F13" s="686"/>
      <c r="G13" s="686"/>
      <c r="H13" s="686"/>
      <c r="I13" s="686"/>
      <c r="J13" s="686"/>
      <c r="K13" s="686"/>
      <c r="L13" s="686"/>
      <c r="M13" s="686"/>
      <c r="N13" s="686"/>
      <c r="O13" s="686"/>
      <c r="P13" s="686"/>
      <c r="Q13" s="686"/>
      <c r="R13" s="686"/>
      <c r="S13" s="686"/>
      <c r="T13" s="686"/>
      <c r="U13" s="686"/>
      <c r="V13" s="686"/>
      <c r="W13" s="686"/>
      <c r="X13" s="686"/>
      <c r="Y13" s="686"/>
      <c r="Z13" s="686"/>
      <c r="AA13" s="686"/>
      <c r="AB13" s="686"/>
      <c r="AC13" s="686"/>
      <c r="AD13" s="141"/>
    </row>
    <row r="14" spans="1:30" ht="15.75" thickBot="1">
      <c r="A14" s="142"/>
      <c r="B14" s="165" t="s">
        <v>167</v>
      </c>
      <c r="C14" s="143" t="s">
        <v>94</v>
      </c>
      <c r="D14" s="144" t="s">
        <v>152</v>
      </c>
      <c r="E14" s="144" t="s">
        <v>159</v>
      </c>
      <c r="F14" s="153"/>
      <c r="G14" s="153"/>
      <c r="H14" s="153"/>
      <c r="I14" s="153"/>
      <c r="J14" s="153"/>
      <c r="K14" s="154"/>
      <c r="L14" s="688" t="str">
        <f>IF(OR(F15=-1,G15=-1,H15=-1,I15=-1,J15=-1,K15=-1),"Indice : Me voici tout mouillé, j'ai suivi un nuage pluvieux!",IF(AND(F14="m",G14="j",H14="s",I14="u",J14="n",K14="p"),"Bravo, il s'agit en effet de la première lettre des planètes de notre système solaire!",""))</f>
        <v/>
      </c>
      <c r="M14" s="689"/>
      <c r="N14" s="689"/>
      <c r="O14" s="689"/>
      <c r="P14" s="689"/>
      <c r="Q14" s="689"/>
      <c r="R14" s="689"/>
      <c r="S14" s="689"/>
      <c r="T14" s="689"/>
      <c r="U14" s="689"/>
      <c r="V14" s="689"/>
      <c r="W14" s="689"/>
      <c r="X14" s="689"/>
      <c r="Y14" s="689"/>
      <c r="Z14" s="689"/>
      <c r="AA14" s="689"/>
      <c r="AB14" s="689"/>
      <c r="AC14" s="689"/>
      <c r="AD14" s="141"/>
    </row>
    <row r="15" spans="1:30">
      <c r="A15" s="142"/>
      <c r="B15" s="165"/>
      <c r="C15" s="142"/>
      <c r="D15" s="142"/>
      <c r="E15" s="142"/>
      <c r="F15" s="145" t="str">
        <f>IF(F14="","",IF(F14="m",1,-1))</f>
        <v/>
      </c>
      <c r="G15" s="145" t="str">
        <f>IF(G14="","",IF(G14="j",1,-1))</f>
        <v/>
      </c>
      <c r="H15" s="145" t="str">
        <f>IF(H14="","",IF(H14="s",1,-1))</f>
        <v/>
      </c>
      <c r="I15" s="145" t="str">
        <f>IF(I14="","",IF(I14="u",1,-1))</f>
        <v/>
      </c>
      <c r="J15" s="145" t="str">
        <f>IF(J14="","",IF(J14="n",1,-1))</f>
        <v/>
      </c>
      <c r="K15" s="145" t="str">
        <f>IF(K14="","",IF(K14="p",1,-1))</f>
        <v/>
      </c>
      <c r="L15" s="147"/>
      <c r="M15" s="145"/>
      <c r="N15" s="145"/>
      <c r="O15" s="145"/>
      <c r="P15" s="145"/>
      <c r="Q15" s="145"/>
      <c r="R15" s="145"/>
      <c r="S15" s="145"/>
      <c r="T15" s="145"/>
      <c r="U15" s="145"/>
      <c r="V15" s="145"/>
      <c r="W15" s="145"/>
      <c r="X15" s="145"/>
      <c r="Y15" s="145"/>
      <c r="Z15" s="145"/>
      <c r="AA15" s="145"/>
      <c r="AB15" s="145"/>
      <c r="AC15" s="145"/>
      <c r="AD15" s="141"/>
    </row>
    <row r="16" spans="1:30" ht="15.75" thickBot="1">
      <c r="A16" s="686"/>
      <c r="B16" s="686"/>
      <c r="C16" s="686"/>
      <c r="D16" s="686"/>
      <c r="E16" s="686"/>
      <c r="F16" s="686"/>
      <c r="G16" s="686"/>
      <c r="H16" s="686"/>
      <c r="I16" s="686"/>
      <c r="J16" s="686"/>
      <c r="K16" s="686"/>
      <c r="L16" s="686"/>
      <c r="M16" s="686"/>
      <c r="N16" s="686"/>
      <c r="O16" s="686"/>
      <c r="P16" s="686"/>
      <c r="Q16" s="686"/>
      <c r="R16" s="686"/>
      <c r="S16" s="686"/>
      <c r="T16" s="686"/>
      <c r="U16" s="686"/>
      <c r="V16" s="686"/>
      <c r="W16" s="686"/>
      <c r="X16" s="686"/>
      <c r="Y16" s="686"/>
      <c r="Z16" s="686"/>
      <c r="AA16" s="686"/>
      <c r="AB16" s="686"/>
      <c r="AC16" s="686"/>
      <c r="AD16" s="141"/>
    </row>
    <row r="17" spans="1:30" ht="15.75" thickBot="1">
      <c r="A17" s="142"/>
      <c r="B17" s="165" t="s">
        <v>168</v>
      </c>
      <c r="C17" s="143" t="s">
        <v>160</v>
      </c>
      <c r="D17" s="144" t="s">
        <v>161</v>
      </c>
      <c r="E17" s="144" t="s">
        <v>95</v>
      </c>
      <c r="F17" s="153"/>
      <c r="G17" s="153"/>
      <c r="H17" s="153"/>
      <c r="I17" s="153"/>
      <c r="J17" s="153"/>
      <c r="K17" s="153"/>
      <c r="L17" s="153"/>
      <c r="M17" s="153"/>
      <c r="N17" s="153"/>
      <c r="O17" s="153"/>
      <c r="P17" s="153"/>
      <c r="Q17" s="153"/>
      <c r="R17" s="153"/>
      <c r="S17" s="153"/>
      <c r="T17" s="153"/>
      <c r="U17" s="153"/>
      <c r="V17" s="153"/>
      <c r="W17" s="153"/>
      <c r="X17" s="153"/>
      <c r="Y17" s="153"/>
      <c r="Z17" s="153"/>
      <c r="AA17" s="153"/>
      <c r="AB17" s="154"/>
      <c r="AC17" s="142"/>
      <c r="AD17" s="141"/>
    </row>
    <row r="18" spans="1:30">
      <c r="A18" s="142"/>
      <c r="B18" s="165"/>
      <c r="C18" s="142"/>
      <c r="D18" s="142"/>
      <c r="E18" s="142"/>
      <c r="F18" s="145" t="str">
        <f>IF(F17="","",IF(F17="d",1,-1))</f>
        <v/>
      </c>
      <c r="G18" s="145" t="str">
        <f>IF(G17="","",IF(G17="e",1,-1))</f>
        <v/>
      </c>
      <c r="H18" s="145" t="str">
        <f>IF(H17="","",IF(H17="f",1,-1))</f>
        <v/>
      </c>
      <c r="I18" s="145" t="str">
        <f>IF(I17="","",IF(I17="g",1,-1))</f>
        <v/>
      </c>
      <c r="J18" s="145" t="str">
        <f>IF(J17="","",IF(J17="h",1,-1))</f>
        <v/>
      </c>
      <c r="K18" s="145" t="str">
        <f>IF(K17="","",IF(K17="i",1,-1))</f>
        <v/>
      </c>
      <c r="L18" s="145" t="str">
        <f>IF(L17="","",IF(L17="j",1,-1))</f>
        <v/>
      </c>
      <c r="M18" s="145" t="str">
        <f>IF(M17="","",IF(M17="k",1,-1))</f>
        <v/>
      </c>
      <c r="N18" s="145" t="str">
        <f>IF(N17="","",IF(N17="l",1,-1))</f>
        <v/>
      </c>
      <c r="O18" s="145" t="str">
        <f>IF(O17="","",IF(O17="m",1,-1))</f>
        <v/>
      </c>
      <c r="P18" s="145" t="str">
        <f>IF(P17="","",IF(P17="n",1,-1))</f>
        <v/>
      </c>
      <c r="Q18" s="145" t="str">
        <f>IF(Q17="","",IF(Q17="o",1,-1))</f>
        <v/>
      </c>
      <c r="R18" s="145" t="str">
        <f>IF(R17="","",IF(R17="p",1,-1))</f>
        <v/>
      </c>
      <c r="S18" s="145" t="str">
        <f>IF(S17="","",IF(S17="q",1,-1))</f>
        <v/>
      </c>
      <c r="T18" s="145" t="str">
        <f>IF(T17="","",IF(T17="r",1,-1))</f>
        <v/>
      </c>
      <c r="U18" s="145" t="str">
        <f>IF(U17="","",IF(U17="s",1,-1))</f>
        <v/>
      </c>
      <c r="V18" s="145" t="str">
        <f>IF(V17="","",IF(V17="t",1,-1))</f>
        <v/>
      </c>
      <c r="W18" s="145" t="str">
        <f>IF(W17="","",IF(W17="u",1,-1))</f>
        <v/>
      </c>
      <c r="X18" s="145" t="str">
        <f>IF(X17="","",IF(X17="v",1,-1))</f>
        <v/>
      </c>
      <c r="Y18" s="145" t="str">
        <f>IF(Y17="","",IF(Y17="w",1,-1))</f>
        <v/>
      </c>
      <c r="Z18" s="145" t="str">
        <f>IF(Z17="","",IF(Z17="x",1,-1))</f>
        <v/>
      </c>
      <c r="AA18" s="145" t="str">
        <f>IF(AA17="","",IF(AA17="y",1,-1))</f>
        <v/>
      </c>
      <c r="AB18" s="145" t="str">
        <f>IF(AB17="","",IF(AB17="z",1,-1))</f>
        <v/>
      </c>
      <c r="AC18" s="142"/>
      <c r="AD18" s="141"/>
    </row>
    <row r="19" spans="1:30">
      <c r="A19" s="142"/>
      <c r="B19" s="165"/>
      <c r="C19" s="689" t="str">
        <f>IF(SUM(F18:AB18)=23,"Bravo, vous avez découvert qu'il s'agissait des lettres de notre alphabet (dans l'ordre) !","")</f>
        <v/>
      </c>
      <c r="D19" s="689"/>
      <c r="E19" s="689"/>
      <c r="F19" s="689"/>
      <c r="G19" s="689"/>
      <c r="H19" s="689"/>
      <c r="I19" s="689"/>
      <c r="J19" s="689"/>
      <c r="K19" s="689"/>
      <c r="L19" s="689"/>
      <c r="M19" s="689"/>
      <c r="N19" s="689"/>
      <c r="O19" s="689"/>
      <c r="P19" s="689"/>
      <c r="Q19" s="689"/>
      <c r="R19" s="689"/>
      <c r="S19" s="689"/>
      <c r="T19" s="689"/>
      <c r="U19" s="689"/>
      <c r="V19" s="689"/>
      <c r="W19" s="689"/>
      <c r="X19" s="689"/>
      <c r="Y19" s="689"/>
      <c r="Z19" s="689"/>
      <c r="AA19" s="689"/>
      <c r="AB19" s="689"/>
      <c r="AC19" s="689"/>
      <c r="AD19" s="141"/>
    </row>
    <row r="20" spans="1:30" ht="15.75" thickBot="1">
      <c r="A20" s="686"/>
      <c r="B20" s="686"/>
      <c r="C20" s="686"/>
      <c r="D20" s="686"/>
      <c r="E20" s="686"/>
      <c r="F20" s="686"/>
      <c r="G20" s="686"/>
      <c r="H20" s="686"/>
      <c r="I20" s="686"/>
      <c r="J20" s="686"/>
      <c r="K20" s="686"/>
      <c r="L20" s="686"/>
      <c r="M20" s="686"/>
      <c r="N20" s="686"/>
      <c r="O20" s="686"/>
      <c r="P20" s="686"/>
      <c r="Q20" s="686"/>
      <c r="R20" s="686"/>
      <c r="S20" s="686"/>
      <c r="T20" s="686"/>
      <c r="U20" s="686"/>
      <c r="V20" s="686"/>
      <c r="W20" s="686"/>
      <c r="X20" s="686"/>
      <c r="Y20" s="686"/>
      <c r="Z20" s="686"/>
      <c r="AA20" s="686"/>
      <c r="AB20" s="686"/>
      <c r="AC20" s="686"/>
      <c r="AD20" s="141"/>
    </row>
    <row r="21" spans="1:30" ht="15.75" thickBot="1">
      <c r="A21" s="142"/>
      <c r="B21" s="165" t="s">
        <v>169</v>
      </c>
      <c r="C21" s="143">
        <v>0</v>
      </c>
      <c r="D21" s="144">
        <v>1</v>
      </c>
      <c r="E21" s="144">
        <v>2</v>
      </c>
      <c r="F21" s="153"/>
      <c r="G21" s="153"/>
      <c r="H21" s="153"/>
      <c r="I21" s="153"/>
      <c r="J21" s="153"/>
      <c r="K21" s="153"/>
      <c r="L21" s="154"/>
      <c r="M21" s="688" t="str">
        <f>IF(AND(F21=3,G21=4,H21=5,I21=6,J21=7,K21=8,L21=9),"Bravo, il s'agit bien des 10 chiffres par ordre de grandeur!","")</f>
        <v/>
      </c>
      <c r="N21" s="689"/>
      <c r="O21" s="689"/>
      <c r="P21" s="689"/>
      <c r="Q21" s="689"/>
      <c r="R21" s="689"/>
      <c r="S21" s="689"/>
      <c r="T21" s="689"/>
      <c r="U21" s="689"/>
      <c r="V21" s="689"/>
      <c r="W21" s="689"/>
      <c r="X21" s="689"/>
      <c r="Y21" s="689"/>
      <c r="Z21" s="689"/>
      <c r="AA21" s="689"/>
      <c r="AB21" s="689"/>
      <c r="AC21" s="689"/>
      <c r="AD21" s="141"/>
    </row>
    <row r="22" spans="1:30">
      <c r="A22" s="142"/>
      <c r="B22" s="165"/>
      <c r="C22" s="142"/>
      <c r="D22" s="142"/>
      <c r="E22" s="142"/>
      <c r="F22" s="145" t="str">
        <f>IF(F21="","",IF(F21=3,1,-1))</f>
        <v/>
      </c>
      <c r="G22" s="145" t="str">
        <f>IF(G21="","",IF(G21=4,1,-1))</f>
        <v/>
      </c>
      <c r="H22" s="145" t="str">
        <f>IF(H21="","",IF(H21=5,1,-1))</f>
        <v/>
      </c>
      <c r="I22" s="145" t="str">
        <f>IF(I21="","",IF(I21=6,1,-1))</f>
        <v/>
      </c>
      <c r="J22" s="145" t="str">
        <f>IF(J21="","",IF(J21=7,1,-1))</f>
        <v/>
      </c>
      <c r="K22" s="145" t="str">
        <f>IF(K21="","",IF(K21=8,1,-1))</f>
        <v/>
      </c>
      <c r="L22" s="145" t="str">
        <f>IF(L21="","",IF(L21=9,1,-1))</f>
        <v/>
      </c>
      <c r="M22" s="142"/>
      <c r="N22" s="142"/>
      <c r="O22" s="142"/>
      <c r="P22" s="142"/>
      <c r="Q22" s="142"/>
      <c r="R22" s="142"/>
      <c r="S22" s="142"/>
      <c r="T22" s="142"/>
      <c r="U22" s="142"/>
      <c r="V22" s="142"/>
      <c r="W22" s="142"/>
      <c r="X22" s="142"/>
      <c r="Y22" s="142"/>
      <c r="Z22" s="142"/>
      <c r="AA22" s="142"/>
      <c r="AB22" s="142"/>
      <c r="AC22" s="142"/>
      <c r="AD22" s="141"/>
    </row>
    <row r="23" spans="1:30" ht="15.75" thickBot="1">
      <c r="A23" s="686"/>
      <c r="B23" s="686"/>
      <c r="C23" s="686"/>
      <c r="D23" s="686"/>
      <c r="E23" s="686"/>
      <c r="F23" s="686"/>
      <c r="G23" s="686"/>
      <c r="H23" s="686"/>
      <c r="I23" s="686"/>
      <c r="J23" s="686"/>
      <c r="K23" s="686"/>
      <c r="L23" s="686"/>
      <c r="M23" s="686"/>
      <c r="N23" s="686"/>
      <c r="O23" s="686"/>
      <c r="P23" s="686"/>
      <c r="Q23" s="686"/>
      <c r="R23" s="686"/>
      <c r="S23" s="686"/>
      <c r="T23" s="686"/>
      <c r="U23" s="686"/>
      <c r="V23" s="686"/>
      <c r="W23" s="686"/>
      <c r="X23" s="686"/>
      <c r="Y23" s="686"/>
      <c r="Z23" s="686"/>
      <c r="AA23" s="686"/>
      <c r="AB23" s="686"/>
      <c r="AC23" s="686"/>
      <c r="AD23" s="141"/>
    </row>
    <row r="24" spans="1:30" ht="15.75" thickBot="1">
      <c r="A24" s="142"/>
      <c r="B24" s="165" t="s">
        <v>170</v>
      </c>
      <c r="C24" s="143" t="s">
        <v>162</v>
      </c>
      <c r="D24" s="153"/>
      <c r="E24" s="153"/>
      <c r="F24" s="153"/>
      <c r="G24" s="153"/>
      <c r="H24" s="153"/>
      <c r="I24" s="153"/>
      <c r="J24" s="153"/>
      <c r="K24" s="153"/>
      <c r="L24" s="153"/>
      <c r="M24" s="153"/>
      <c r="N24" s="154"/>
      <c r="O24" s="145" t="str">
        <f>IF(N24="","",IF(AND(D24="é",G24="(",H24="-",I24="è",J24="_",K24="ç",L24="à",M24=")",N24="="),1,-1))</f>
        <v/>
      </c>
      <c r="P24" s="690" t="str">
        <f>IF(OR(O24=-1,M25=-1,M26=-1,I27=-1),"Indice : Vous touchez la réponse du bout de vos doigts !",IF(AND(O24=1,M25=1,M26=1,I27=1),"Bravo, il s'agit en effet de la composition d'une partie de notre clavier français (AZERTY)",""))</f>
        <v/>
      </c>
      <c r="Q24" s="690"/>
      <c r="R24" s="690"/>
      <c r="S24" s="690"/>
      <c r="T24" s="690"/>
      <c r="U24" s="690"/>
      <c r="V24" s="690"/>
      <c r="W24" s="690"/>
      <c r="X24" s="690"/>
      <c r="Y24" s="690"/>
      <c r="Z24" s="690"/>
      <c r="AA24" s="690"/>
      <c r="AB24" s="690"/>
      <c r="AC24" s="690"/>
      <c r="AD24" s="141"/>
    </row>
    <row r="25" spans="1:30" ht="15.75" thickBot="1">
      <c r="A25" s="142"/>
      <c r="B25" s="142"/>
      <c r="C25" s="163"/>
      <c r="D25" s="153"/>
      <c r="E25" s="153"/>
      <c r="F25" s="153"/>
      <c r="G25" s="153"/>
      <c r="H25" s="153"/>
      <c r="I25" s="153"/>
      <c r="J25" s="153"/>
      <c r="K25" s="153"/>
      <c r="L25" s="154"/>
      <c r="M25" s="145" t="str">
        <f>IF(L25="","",IF(AND(D25="z",E25="e",F25="r",G25="t",H25="y",I25="u",J25="i",K25="o",L25="p"),1,-1))</f>
        <v/>
      </c>
      <c r="N25" s="142"/>
      <c r="O25" s="142"/>
      <c r="P25" s="690"/>
      <c r="Q25" s="690"/>
      <c r="R25" s="690"/>
      <c r="S25" s="690"/>
      <c r="T25" s="690"/>
      <c r="U25" s="690"/>
      <c r="V25" s="690"/>
      <c r="W25" s="690"/>
      <c r="X25" s="690"/>
      <c r="Y25" s="690"/>
      <c r="Z25" s="690"/>
      <c r="AA25" s="690"/>
      <c r="AB25" s="690"/>
      <c r="AC25" s="690"/>
      <c r="AD25" s="141"/>
    </row>
    <row r="26" spans="1:30" ht="15.75" thickBot="1">
      <c r="A26" s="142"/>
      <c r="B26" s="142"/>
      <c r="C26" s="164"/>
      <c r="D26" s="155"/>
      <c r="E26" s="155"/>
      <c r="F26" s="155"/>
      <c r="G26" s="155"/>
      <c r="H26" s="155"/>
      <c r="I26" s="153"/>
      <c r="J26" s="153"/>
      <c r="K26" s="153"/>
      <c r="L26" s="154"/>
      <c r="M26" s="145" t="str">
        <f>IF(L26="","",IF(AND(D26="s",E26="d",F26="f",G26="g",H26="h",I26="j",J26="k",K26="l",L26="m"),1,-1))</f>
        <v/>
      </c>
      <c r="N26" s="142"/>
      <c r="O26" s="142"/>
      <c r="P26" s="690"/>
      <c r="Q26" s="690"/>
      <c r="R26" s="690"/>
      <c r="S26" s="690"/>
      <c r="T26" s="690"/>
      <c r="U26" s="690"/>
      <c r="V26" s="690"/>
      <c r="W26" s="690"/>
      <c r="X26" s="690"/>
      <c r="Y26" s="690"/>
      <c r="Z26" s="690"/>
      <c r="AA26" s="690"/>
      <c r="AB26" s="690"/>
      <c r="AC26" s="690"/>
      <c r="AD26" s="141"/>
    </row>
    <row r="27" spans="1:30" ht="15.75" thickBot="1">
      <c r="A27" s="142"/>
      <c r="B27" s="142"/>
      <c r="C27" s="163"/>
      <c r="D27" s="153"/>
      <c r="E27" s="153"/>
      <c r="F27" s="153"/>
      <c r="G27" s="153"/>
      <c r="H27" s="154"/>
      <c r="I27" s="145" t="str">
        <f>IF(H27="","",IF(AND(D27="x",E27="c",F27="v",G27="b",H27="n"),1,-1))</f>
        <v/>
      </c>
      <c r="J27" s="142"/>
      <c r="K27" s="142"/>
      <c r="L27" s="142"/>
      <c r="M27" s="142"/>
      <c r="N27" s="142"/>
      <c r="O27" s="142"/>
      <c r="P27" s="690"/>
      <c r="Q27" s="690"/>
      <c r="R27" s="690"/>
      <c r="S27" s="690"/>
      <c r="T27" s="690"/>
      <c r="U27" s="690"/>
      <c r="V27" s="690"/>
      <c r="W27" s="690"/>
      <c r="X27" s="690"/>
      <c r="Y27" s="690"/>
      <c r="Z27" s="690"/>
      <c r="AA27" s="690"/>
      <c r="AB27" s="690"/>
      <c r="AC27" s="690"/>
      <c r="AD27" s="141"/>
    </row>
    <row r="28" spans="1:30">
      <c r="A28" s="142"/>
      <c r="B28" s="142"/>
      <c r="C28" s="142"/>
      <c r="D28" s="142"/>
      <c r="E28" s="142"/>
      <c r="F28" s="142"/>
      <c r="G28" s="142"/>
      <c r="H28" s="142"/>
      <c r="I28" s="142"/>
      <c r="J28" s="142"/>
      <c r="K28" s="142"/>
      <c r="L28" s="142"/>
      <c r="M28" s="142"/>
      <c r="N28" s="142"/>
      <c r="O28" s="142"/>
      <c r="P28" s="142"/>
      <c r="Q28" s="142"/>
      <c r="R28" s="142"/>
      <c r="S28" s="142"/>
      <c r="T28" s="142"/>
      <c r="U28" s="142"/>
      <c r="V28" s="142"/>
      <c r="W28" s="142"/>
      <c r="X28" s="142"/>
      <c r="Y28" s="142"/>
      <c r="Z28" s="142"/>
      <c r="AA28" s="142"/>
      <c r="AB28" s="142"/>
      <c r="AC28" s="142"/>
      <c r="AD28" s="141"/>
    </row>
    <row r="29" spans="1:30">
      <c r="A29" s="142"/>
      <c r="B29" s="687" t="s">
        <v>163</v>
      </c>
      <c r="C29" s="687"/>
      <c r="D29" s="687"/>
      <c r="E29" s="687"/>
      <c r="F29" s="687"/>
      <c r="G29" s="687"/>
      <c r="H29" s="687"/>
      <c r="I29" s="687"/>
      <c r="J29" s="687"/>
      <c r="K29" s="687"/>
      <c r="L29" s="687"/>
      <c r="M29" s="687"/>
      <c r="N29" s="687"/>
      <c r="O29" s="687"/>
      <c r="P29" s="687"/>
      <c r="Q29" s="687"/>
      <c r="R29" s="687"/>
      <c r="S29" s="687"/>
      <c r="T29" s="687"/>
      <c r="U29" s="687"/>
      <c r="V29" s="687"/>
      <c r="W29" s="687"/>
      <c r="X29" s="687"/>
      <c r="Y29" s="687"/>
      <c r="Z29" s="687"/>
      <c r="AA29" s="687"/>
      <c r="AB29" s="687"/>
      <c r="AC29" s="687"/>
      <c r="AD29" s="141"/>
    </row>
    <row r="30" spans="1:30" ht="15.75" thickBot="1">
      <c r="A30" s="686"/>
      <c r="B30" s="686"/>
      <c r="C30" s="686"/>
      <c r="D30" s="686"/>
      <c r="E30" s="686"/>
      <c r="F30" s="686"/>
      <c r="G30" s="686"/>
      <c r="H30" s="686"/>
      <c r="I30" s="686"/>
      <c r="J30" s="686"/>
      <c r="K30" s="686"/>
      <c r="L30" s="686"/>
      <c r="M30" s="686"/>
      <c r="N30" s="686"/>
      <c r="O30" s="686"/>
      <c r="P30" s="686"/>
      <c r="Q30" s="686"/>
      <c r="R30" s="686"/>
      <c r="S30" s="686"/>
      <c r="T30" s="686"/>
      <c r="U30" s="686"/>
      <c r="V30" s="686"/>
      <c r="W30" s="686"/>
      <c r="X30" s="686"/>
      <c r="Y30" s="686"/>
      <c r="Z30" s="686"/>
      <c r="AA30" s="686"/>
      <c r="AB30" s="686"/>
      <c r="AC30" s="686"/>
      <c r="AD30" s="141"/>
    </row>
    <row r="31" spans="1:30" ht="15.75" thickBot="1">
      <c r="A31" s="142"/>
      <c r="B31" s="165" t="s">
        <v>171</v>
      </c>
      <c r="C31" s="143" t="s">
        <v>209</v>
      </c>
      <c r="D31" s="144">
        <v>2</v>
      </c>
      <c r="E31" s="144">
        <v>3</v>
      </c>
      <c r="F31" s="144">
        <v>5</v>
      </c>
      <c r="G31" s="153"/>
      <c r="H31" s="153"/>
      <c r="I31" s="153"/>
      <c r="J31" s="153"/>
      <c r="K31" s="153"/>
      <c r="L31" s="153"/>
      <c r="M31" s="153"/>
      <c r="N31" s="153"/>
      <c r="O31" s="154"/>
      <c r="P31" s="688" t="str">
        <f>IF(OR(G32=-1,H32=-1,I32=-1,J32=-1,K32=-1,L32=-1,M32=-1,N32=-1,O32=-1),"Indice : Uniquement divisible par 1 et lui-même",IF(SUM(G32:O32)=9,"Bravo, il s'agit bien du début de la suite des nombres 1ers !!",""))</f>
        <v/>
      </c>
      <c r="Q31" s="689"/>
      <c r="R31" s="689"/>
      <c r="S31" s="689"/>
      <c r="T31" s="689"/>
      <c r="U31" s="689"/>
      <c r="V31" s="689"/>
      <c r="W31" s="689"/>
      <c r="X31" s="689"/>
      <c r="Y31" s="689"/>
      <c r="Z31" s="689"/>
      <c r="AA31" s="689"/>
      <c r="AB31" s="689"/>
      <c r="AC31" s="689"/>
      <c r="AD31" s="141"/>
    </row>
    <row r="32" spans="1:30">
      <c r="A32" s="142"/>
      <c r="B32" s="142"/>
      <c r="C32" s="142"/>
      <c r="D32" s="142"/>
      <c r="E32" s="142"/>
      <c r="F32" s="142"/>
      <c r="G32" s="145" t="str">
        <f>IF(G31="","",IF(G31=7,1,-1))</f>
        <v/>
      </c>
      <c r="H32" s="145" t="str">
        <f>IF(H31="","",IF(H31=11,1,-1))</f>
        <v/>
      </c>
      <c r="I32" s="145" t="str">
        <f>IF(I31="","",IF(I31=13,1,-1))</f>
        <v/>
      </c>
      <c r="J32" s="145" t="str">
        <f>IF(J31="","",IF(J31=17,1,-1))</f>
        <v/>
      </c>
      <c r="K32" s="145" t="str">
        <f>IF(K31="","",IF(K31=19,1,-1))</f>
        <v/>
      </c>
      <c r="L32" s="145" t="str">
        <f>IF(L31="","",IF(L31=23,1,-1))</f>
        <v/>
      </c>
      <c r="M32" s="145" t="str">
        <f>IF(M31="","",IF(M31=29,1,-1))</f>
        <v/>
      </c>
      <c r="N32" s="145" t="str">
        <f>IF(N31="","",IF(N31=31,1,-1))</f>
        <v/>
      </c>
      <c r="O32" s="145" t="str">
        <f>IF(O31="","",IF(O31=37,1,-1))</f>
        <v/>
      </c>
      <c r="P32" s="142"/>
      <c r="Q32" s="142"/>
      <c r="R32" s="142"/>
      <c r="S32" s="142"/>
      <c r="T32" s="142"/>
      <c r="U32" s="142"/>
      <c r="V32" s="142"/>
      <c r="W32" s="142"/>
      <c r="X32" s="142"/>
      <c r="Y32" s="142"/>
      <c r="Z32" s="142"/>
      <c r="AA32" s="142"/>
      <c r="AB32" s="142"/>
      <c r="AC32" s="142"/>
      <c r="AD32" s="141"/>
    </row>
    <row r="33" spans="1:30" ht="15.75" thickBot="1">
      <c r="A33" s="686"/>
      <c r="B33" s="686"/>
      <c r="C33" s="686"/>
      <c r="D33" s="686"/>
      <c r="E33" s="686"/>
      <c r="F33" s="686"/>
      <c r="G33" s="686"/>
      <c r="H33" s="686"/>
      <c r="I33" s="686"/>
      <c r="J33" s="686"/>
      <c r="K33" s="686"/>
      <c r="L33" s="686"/>
      <c r="M33" s="686"/>
      <c r="N33" s="686"/>
      <c r="O33" s="686"/>
      <c r="P33" s="686"/>
      <c r="Q33" s="686"/>
      <c r="R33" s="686"/>
      <c r="S33" s="686"/>
      <c r="T33" s="686"/>
      <c r="U33" s="686"/>
      <c r="V33" s="686"/>
      <c r="W33" s="686"/>
      <c r="X33" s="686"/>
      <c r="Y33" s="686"/>
      <c r="Z33" s="686"/>
      <c r="AA33" s="686"/>
      <c r="AB33" s="686"/>
      <c r="AC33" s="686"/>
      <c r="AD33" s="141"/>
    </row>
    <row r="34" spans="1:30" ht="15.75" customHeight="1" thickBot="1">
      <c r="A34" s="142"/>
      <c r="B34" s="165" t="s">
        <v>172</v>
      </c>
      <c r="C34" s="143">
        <v>0</v>
      </c>
      <c r="D34" s="144">
        <v>1</v>
      </c>
      <c r="E34" s="144">
        <v>1</v>
      </c>
      <c r="F34" s="144">
        <v>2</v>
      </c>
      <c r="G34" s="153"/>
      <c r="H34" s="153"/>
      <c r="I34" s="153"/>
      <c r="J34" s="153"/>
      <c r="K34" s="153"/>
      <c r="L34" s="153"/>
      <c r="M34" s="153"/>
      <c r="N34" s="153"/>
      <c r="O34" s="154"/>
      <c r="P34" s="690" t="str">
        <f>IF(OR(G35=-1,H35=-1,I35=-1,J35=-1,K35=-1,L35=-1,M35=-1,N35=-1,O35=-1,),"Indice : La réponse se trouve avant !",IF(SUM(G35:O35)=9,"Bravo, il s'agit d'une des suites de fibonacci, le nombre suivant résulte de l'addition des 2 précédents nombres !",""))</f>
        <v/>
      </c>
      <c r="Q34" s="690"/>
      <c r="R34" s="690"/>
      <c r="S34" s="690"/>
      <c r="T34" s="690"/>
      <c r="U34" s="690"/>
      <c r="V34" s="690"/>
      <c r="W34" s="690"/>
      <c r="X34" s="690"/>
      <c r="Y34" s="690"/>
      <c r="Z34" s="690"/>
      <c r="AA34" s="690"/>
      <c r="AB34" s="690"/>
      <c r="AC34" s="690"/>
      <c r="AD34" s="141"/>
    </row>
    <row r="35" spans="1:30">
      <c r="A35" s="142"/>
      <c r="B35" s="142"/>
      <c r="C35" s="142"/>
      <c r="D35" s="142"/>
      <c r="E35" s="142"/>
      <c r="F35" s="142"/>
      <c r="G35" s="145" t="str">
        <f>IF(G34="","",IF(G34=3,1,-1))</f>
        <v/>
      </c>
      <c r="H35" s="145" t="str">
        <f>IF(H34="","",IF(H34=5,1,-1))</f>
        <v/>
      </c>
      <c r="I35" s="145" t="str">
        <f>IF(I34="","",IF(I34=8,1,-1))</f>
        <v/>
      </c>
      <c r="J35" s="145" t="str">
        <f>IF(J34="","",IF(J34=13,1,-1))</f>
        <v/>
      </c>
      <c r="K35" s="145" t="str">
        <f>IF(K34="","",IF(K34=21,1,-1))</f>
        <v/>
      </c>
      <c r="L35" s="145" t="str">
        <f>IF(L34="","",IF(L34=34,1,-1))</f>
        <v/>
      </c>
      <c r="M35" s="145" t="str">
        <f>IF(M34="","",IF(M34=55,1,-1))</f>
        <v/>
      </c>
      <c r="N35" s="145" t="str">
        <f>IF(N34="","",IF(N34=89,1,-1))</f>
        <v/>
      </c>
      <c r="O35" s="145" t="str">
        <f>IF(O34="","",IF(O34=144,1,-1))</f>
        <v/>
      </c>
      <c r="P35" s="690"/>
      <c r="Q35" s="690"/>
      <c r="R35" s="690"/>
      <c r="S35" s="690"/>
      <c r="T35" s="690"/>
      <c r="U35" s="690"/>
      <c r="V35" s="690"/>
      <c r="W35" s="690"/>
      <c r="X35" s="690"/>
      <c r="Y35" s="690"/>
      <c r="Z35" s="690"/>
      <c r="AA35" s="690"/>
      <c r="AB35" s="690"/>
      <c r="AC35" s="690"/>
      <c r="AD35" s="141"/>
    </row>
    <row r="36" spans="1:30">
      <c r="A36" s="686"/>
      <c r="B36" s="686"/>
      <c r="C36" s="686"/>
      <c r="D36" s="686"/>
      <c r="E36" s="686"/>
      <c r="F36" s="686"/>
      <c r="G36" s="686"/>
      <c r="H36" s="686"/>
      <c r="I36" s="686"/>
      <c r="J36" s="686"/>
      <c r="K36" s="686"/>
      <c r="L36" s="686"/>
      <c r="M36" s="686"/>
      <c r="N36" s="686"/>
      <c r="O36" s="686"/>
      <c r="P36" s="686"/>
      <c r="Q36" s="686"/>
      <c r="R36" s="686"/>
      <c r="S36" s="686"/>
      <c r="T36" s="686"/>
      <c r="U36" s="686"/>
      <c r="V36" s="686"/>
      <c r="W36" s="686"/>
      <c r="X36" s="686"/>
      <c r="Y36" s="686"/>
      <c r="Z36" s="686"/>
      <c r="AA36" s="686"/>
      <c r="AB36" s="686"/>
      <c r="AC36" s="686"/>
      <c r="AD36" s="141"/>
    </row>
    <row r="37" spans="1:30">
      <c r="A37" s="142"/>
      <c r="B37" s="687" t="s">
        <v>164</v>
      </c>
      <c r="C37" s="687"/>
      <c r="D37" s="687"/>
      <c r="E37" s="687"/>
      <c r="F37" s="687"/>
      <c r="G37" s="687"/>
      <c r="H37" s="687"/>
      <c r="I37" s="687"/>
      <c r="J37" s="687"/>
      <c r="K37" s="687"/>
      <c r="L37" s="687"/>
      <c r="M37" s="687"/>
      <c r="N37" s="687"/>
      <c r="O37" s="687"/>
      <c r="P37" s="687"/>
      <c r="Q37" s="687"/>
      <c r="R37" s="687"/>
      <c r="S37" s="687"/>
      <c r="T37" s="687"/>
      <c r="U37" s="687"/>
      <c r="V37" s="687"/>
      <c r="W37" s="687"/>
      <c r="X37" s="687"/>
      <c r="Y37" s="687"/>
      <c r="Z37" s="687"/>
      <c r="AA37" s="687"/>
      <c r="AB37" s="687"/>
      <c r="AC37" s="687"/>
      <c r="AD37" s="141"/>
    </row>
    <row r="38" spans="1:30" ht="15.75" thickBot="1">
      <c r="A38" s="142"/>
      <c r="B38" s="142"/>
      <c r="C38" s="142"/>
      <c r="D38" s="142"/>
      <c r="E38" s="142"/>
      <c r="F38" s="146"/>
      <c r="G38" s="142"/>
      <c r="H38" s="142"/>
      <c r="I38" s="142"/>
      <c r="J38" s="142"/>
      <c r="K38" s="142"/>
      <c r="L38" s="142"/>
      <c r="M38" s="142"/>
      <c r="N38" s="142"/>
      <c r="O38" s="142"/>
      <c r="P38" s="142"/>
      <c r="Q38" s="142"/>
      <c r="R38" s="142"/>
      <c r="S38" s="142"/>
      <c r="T38" s="142"/>
      <c r="U38" s="142"/>
      <c r="V38" s="142"/>
      <c r="W38" s="142"/>
      <c r="X38" s="142"/>
      <c r="Y38" s="142"/>
      <c r="Z38" s="142"/>
      <c r="AA38" s="142"/>
      <c r="AB38" s="142"/>
      <c r="AC38" s="142"/>
      <c r="AD38" s="141"/>
    </row>
    <row r="39" spans="1:30">
      <c r="A39" s="142"/>
      <c r="B39" s="165" t="s">
        <v>173</v>
      </c>
      <c r="C39" s="149">
        <v>4</v>
      </c>
      <c r="D39" s="156"/>
      <c r="E39" s="157"/>
      <c r="F39" s="147" t="str">
        <f>IF(OR(C39+D39+E39=4,D39="",E39=""),"",IF(C39+D39+E39=15,1,-1))</f>
        <v/>
      </c>
      <c r="G39" s="142"/>
      <c r="H39" s="697" t="s">
        <v>207</v>
      </c>
      <c r="I39" s="697"/>
      <c r="J39" s="697"/>
      <c r="K39" s="697"/>
      <c r="L39" s="697"/>
      <c r="M39" s="697"/>
      <c r="N39" s="142"/>
      <c r="O39" s="142"/>
      <c r="P39" s="142"/>
      <c r="Q39" s="142"/>
      <c r="R39" s="142"/>
      <c r="S39" s="142"/>
      <c r="T39" s="142"/>
      <c r="U39" s="142"/>
      <c r="V39" s="699" t="str">
        <f>IF(OR(B43="Indice : Les paires au coin ",B43=""),"","solution 1")</f>
        <v/>
      </c>
      <c r="W39" s="699"/>
      <c r="X39" s="699"/>
      <c r="Y39" s="699"/>
      <c r="Z39" s="142"/>
      <c r="AA39" s="142"/>
      <c r="AB39" s="142"/>
      <c r="AC39" s="142"/>
      <c r="AD39" s="141"/>
    </row>
    <row r="40" spans="1:30">
      <c r="A40" s="142"/>
      <c r="B40" s="165"/>
      <c r="C40" s="161"/>
      <c r="D40" s="150">
        <v>5</v>
      </c>
      <c r="E40" s="158"/>
      <c r="F40" s="147" t="str">
        <f>IF(OR(C40+D40+E40=5,C40="",E40=""),"",IF(C40+D40+E40=15,1,-1))</f>
        <v/>
      </c>
      <c r="G40" s="142"/>
      <c r="H40" s="146">
        <v>1</v>
      </c>
      <c r="I40" s="146">
        <v>2</v>
      </c>
      <c r="J40" s="146">
        <v>3</v>
      </c>
      <c r="K40" s="146">
        <v>7</v>
      </c>
      <c r="L40" s="146">
        <v>8</v>
      </c>
      <c r="M40" s="146">
        <v>9</v>
      </c>
      <c r="N40" s="142"/>
      <c r="O40" s="142"/>
      <c r="P40" s="142"/>
      <c r="Q40" s="142"/>
      <c r="R40" s="142"/>
      <c r="S40" s="142"/>
      <c r="T40" s="142"/>
      <c r="U40" s="142"/>
      <c r="V40" s="162"/>
      <c r="W40" s="162"/>
      <c r="X40" s="162"/>
      <c r="Y40" s="162"/>
      <c r="Z40" s="142"/>
      <c r="AA40" s="142"/>
      <c r="AB40" s="142"/>
      <c r="AC40" s="142"/>
      <c r="AD40" s="141"/>
    </row>
    <row r="41" spans="1:30" ht="15.75" thickBot="1">
      <c r="A41" s="142"/>
      <c r="B41" s="142"/>
      <c r="C41" s="160"/>
      <c r="D41" s="159"/>
      <c r="E41" s="151">
        <v>6</v>
      </c>
      <c r="F41" s="147" t="str">
        <f>IF(OR(C41+D41+E41=6,D41="",C41=""),"",IF(C41+D41+E41=15,1,-1))</f>
        <v/>
      </c>
      <c r="G41" s="142"/>
      <c r="H41" s="142"/>
      <c r="I41" s="142"/>
      <c r="J41" s="142"/>
      <c r="K41" s="142"/>
      <c r="L41" s="142"/>
      <c r="M41" s="142"/>
      <c r="N41" s="142"/>
      <c r="O41" s="142"/>
      <c r="P41" s="142"/>
      <c r="Q41" s="142"/>
      <c r="R41" s="142"/>
      <c r="S41" s="142"/>
      <c r="T41" s="142"/>
      <c r="U41" s="142"/>
      <c r="V41" s="699" t="str">
        <f>IF(OR(B43="Indice : Les paires au coin ",B43=""),"","solution 2")</f>
        <v/>
      </c>
      <c r="W41" s="699"/>
      <c r="X41" s="699"/>
      <c r="Y41" s="699"/>
      <c r="Z41" s="142"/>
      <c r="AA41" s="142"/>
      <c r="AB41" s="142"/>
      <c r="AC41" s="142"/>
      <c r="AD41" s="141"/>
    </row>
    <row r="42" spans="1:30">
      <c r="A42" s="142"/>
      <c r="B42" s="152"/>
      <c r="C42" s="147" t="str">
        <f>IF(OR(C39+C40+C41=4,C40="",C41=""),"",IF(C39+C40+C41=15,1,-1))</f>
        <v/>
      </c>
      <c r="D42" s="147" t="str">
        <f>IF(OR(D39+D40+D41=5,D39="",D41=""),"",IF(D39+D40+D41=15,1,-1))</f>
        <v/>
      </c>
      <c r="E42" s="147" t="str">
        <f>IF(OR(E39+E40+E41=6,E39="",E40=""),"",IF(E39+E40+E41=15,1,-1))</f>
        <v/>
      </c>
      <c r="F42" s="145"/>
      <c r="G42" s="142"/>
      <c r="H42" s="142"/>
      <c r="I42" s="142"/>
      <c r="J42" s="142"/>
      <c r="K42" s="142"/>
      <c r="L42" s="142"/>
      <c r="M42" s="142"/>
      <c r="N42" s="142"/>
      <c r="O42" s="142"/>
      <c r="P42" s="142"/>
      <c r="Q42" s="142"/>
      <c r="R42" s="142"/>
      <c r="S42" s="142"/>
      <c r="T42" s="142"/>
      <c r="U42" s="142"/>
      <c r="V42" s="162"/>
      <c r="W42" s="162"/>
      <c r="X42" s="162"/>
      <c r="Y42" s="162"/>
      <c r="Z42" s="142"/>
      <c r="AA42" s="142"/>
      <c r="AB42" s="142"/>
      <c r="AC42" s="142"/>
      <c r="AD42" s="141"/>
    </row>
    <row r="43" spans="1:30">
      <c r="A43" s="142"/>
      <c r="B43" s="698" t="str">
        <f>IF(OR(F39=-1,F40=-1,F41=-1,C42=-1,D42=-1,E42=-1),"Indice : Les paires au coin ",IF(OR(AND(D39=9,E39=2,C40=3,E40=7,C41=8,D41=1),AND(D39=3,E39=8,C40=9,E40=1,C41=2,D41=7)),"Bravo !! Il fallait trouver '15' par ligne/colonne.                                                                                                              Voir les 2 solutions (cliquez ci-dessus)",""))</f>
        <v/>
      </c>
      <c r="C43" s="698"/>
      <c r="D43" s="698"/>
      <c r="E43" s="698"/>
      <c r="F43" s="698"/>
      <c r="G43" s="698"/>
      <c r="H43" s="698"/>
      <c r="I43" s="698"/>
      <c r="J43" s="698"/>
      <c r="K43" s="698"/>
      <c r="L43" s="698"/>
      <c r="M43" s="698"/>
      <c r="N43" s="698"/>
      <c r="O43" s="698"/>
      <c r="P43" s="698"/>
      <c r="Q43" s="698"/>
      <c r="R43" s="698"/>
      <c r="S43" s="698"/>
      <c r="T43" s="698"/>
      <c r="U43" s="698"/>
      <c r="V43" s="698"/>
      <c r="W43" s="698"/>
      <c r="X43" s="698"/>
      <c r="Y43" s="698"/>
      <c r="Z43" s="698"/>
      <c r="AA43" s="698"/>
      <c r="AB43" s="698"/>
      <c r="AC43" s="698"/>
      <c r="AD43" s="141"/>
    </row>
    <row r="44" spans="1:30">
      <c r="A44" s="686"/>
      <c r="B44" s="686"/>
      <c r="C44" s="686"/>
      <c r="D44" s="686"/>
      <c r="E44" s="686"/>
      <c r="F44" s="686"/>
      <c r="G44" s="686"/>
      <c r="H44" s="686"/>
      <c r="I44" s="686"/>
      <c r="J44" s="686"/>
      <c r="K44" s="686"/>
      <c r="L44" s="686"/>
      <c r="M44" s="686"/>
      <c r="N44" s="686"/>
      <c r="O44" s="686"/>
      <c r="P44" s="686"/>
      <c r="Q44" s="686"/>
      <c r="R44" s="686"/>
      <c r="S44" s="686"/>
      <c r="T44" s="686"/>
      <c r="U44" s="686"/>
      <c r="V44" s="686"/>
      <c r="W44" s="686"/>
      <c r="X44" s="686"/>
      <c r="Y44" s="686"/>
      <c r="Z44" s="686"/>
      <c r="AA44" s="686"/>
      <c r="AB44" s="686"/>
      <c r="AC44" s="686"/>
      <c r="AD44" s="141"/>
    </row>
    <row r="45" spans="1:30">
      <c r="A45" s="142"/>
      <c r="B45" s="687" t="s">
        <v>206</v>
      </c>
      <c r="C45" s="687"/>
      <c r="D45" s="687"/>
      <c r="E45" s="687"/>
      <c r="F45" s="687"/>
      <c r="G45" s="687"/>
      <c r="H45" s="687"/>
      <c r="I45" s="687"/>
      <c r="J45" s="687"/>
      <c r="K45" s="687"/>
      <c r="L45" s="687"/>
      <c r="M45" s="687"/>
      <c r="N45" s="687"/>
      <c r="O45" s="687"/>
      <c r="P45" s="687"/>
      <c r="Q45" s="687"/>
      <c r="R45" s="687"/>
      <c r="S45" s="687"/>
      <c r="T45" s="687"/>
      <c r="U45" s="687"/>
      <c r="V45" s="687"/>
      <c r="W45" s="687"/>
      <c r="X45" s="687"/>
      <c r="Y45" s="687"/>
      <c r="Z45" s="687"/>
      <c r="AA45" s="687"/>
      <c r="AB45" s="687"/>
      <c r="AC45" s="687"/>
      <c r="AD45" s="141"/>
    </row>
    <row r="46" spans="1:30">
      <c r="A46" s="142"/>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41"/>
    </row>
    <row r="47" spans="1:30" ht="15.75">
      <c r="A47" s="142"/>
      <c r="B47" s="165" t="s">
        <v>174</v>
      </c>
      <c r="C47" s="692" t="s">
        <v>175</v>
      </c>
      <c r="D47" s="692"/>
      <c r="E47" s="692"/>
      <c r="F47" s="692"/>
      <c r="G47" s="695"/>
      <c r="H47" s="695"/>
      <c r="I47" s="166" t="str">
        <f>IF(G47="","","+")</f>
        <v/>
      </c>
      <c r="J47" s="695"/>
      <c r="K47" s="695"/>
      <c r="L47" s="166" t="str">
        <f>IF(J47="","","+")</f>
        <v/>
      </c>
      <c r="M47" s="695"/>
      <c r="N47" s="695"/>
      <c r="O47" s="166" t="str">
        <f>IF(M47="","","+")</f>
        <v/>
      </c>
      <c r="P47" s="695"/>
      <c r="Q47" s="695"/>
      <c r="R47" s="166" t="str">
        <f>IF(P47="","","+")</f>
        <v/>
      </c>
      <c r="S47" s="695"/>
      <c r="T47" s="695"/>
      <c r="U47" s="166" t="str">
        <f>IF(S47="","","+")</f>
        <v/>
      </c>
      <c r="V47" s="695"/>
      <c r="W47" s="695"/>
      <c r="X47" s="166" t="str">
        <f>IF(V47="","","+")</f>
        <v/>
      </c>
      <c r="Y47" s="695"/>
      <c r="Z47" s="695"/>
      <c r="AA47" s="166" t="str">
        <f>IF(Y47="","","+")</f>
        <v/>
      </c>
      <c r="AB47" s="695"/>
      <c r="AC47" s="695"/>
      <c r="AD47" s="141"/>
    </row>
    <row r="48" spans="1:30">
      <c r="A48" s="142"/>
      <c r="B48" s="142"/>
      <c r="C48" s="692" t="str">
        <f>IF(AB47&lt;&gt;"","Votre Résultat :","")</f>
        <v/>
      </c>
      <c r="D48" s="692"/>
      <c r="E48" s="692"/>
      <c r="F48" s="692"/>
      <c r="G48" s="691"/>
      <c r="H48" s="691"/>
      <c r="I48" s="689" t="str">
        <f>IF(G48="","",IF(G48=5000,"Félicitations, vous vous êtes fait avoir !! Vous avez gagner le droit de recommencer !",IF(G48=4100,"Bravo, Et oui vous avez évité le piège sur l'arrondi (4 080 + 20 = 4 100 et non 5 000) Bien vu ;-) ! ","… Et bien non rien de tout cela ! Recommencez donc … !")))</f>
        <v/>
      </c>
      <c r="J48" s="689"/>
      <c r="K48" s="689"/>
      <c r="L48" s="689"/>
      <c r="M48" s="689"/>
      <c r="N48" s="689"/>
      <c r="O48" s="689"/>
      <c r="P48" s="689"/>
      <c r="Q48" s="689"/>
      <c r="R48" s="689"/>
      <c r="S48" s="689"/>
      <c r="T48" s="689"/>
      <c r="U48" s="689"/>
      <c r="V48" s="689"/>
      <c r="W48" s="689"/>
      <c r="X48" s="689"/>
      <c r="Y48" s="689"/>
      <c r="Z48" s="689"/>
      <c r="AA48" s="689"/>
      <c r="AB48" s="689"/>
      <c r="AC48" s="689"/>
      <c r="AD48" s="167" t="str">
        <f>IF(OR(I48="Félicitations, vous vous êtes fait avoir !! Vous avez gagner le droit de recommencer !",I48="… Et bien non rien de tout cela ! Recommencez donc … !"),"RAZ","")</f>
        <v/>
      </c>
    </row>
    <row r="49" spans="1:30">
      <c r="A49" s="142"/>
      <c r="B49" s="689" t="str">
        <f>IF(I48="Bravo, Et oui vous avez évité le piège sur l'arrondi (4 080 + 20 = 4 100 et non 5 000) Bien vu ;-) ! ","                                       A moins que vous avez retenté votre chance une énième fois XD !!","")</f>
        <v/>
      </c>
      <c r="C49" s="689"/>
      <c r="D49" s="689"/>
      <c r="E49" s="689"/>
      <c r="F49" s="689"/>
      <c r="G49" s="689"/>
      <c r="H49" s="689"/>
      <c r="I49" s="689"/>
      <c r="J49" s="689"/>
      <c r="K49" s="689"/>
      <c r="L49" s="689"/>
      <c r="M49" s="689"/>
      <c r="N49" s="689"/>
      <c r="O49" s="689"/>
      <c r="P49" s="689"/>
      <c r="Q49" s="689"/>
      <c r="R49" s="689"/>
      <c r="S49" s="689"/>
      <c r="T49" s="689"/>
      <c r="U49" s="689"/>
      <c r="V49" s="689"/>
      <c r="W49" s="689"/>
      <c r="X49" s="689"/>
      <c r="Y49" s="689"/>
      <c r="Z49" s="689"/>
      <c r="AA49" s="689"/>
      <c r="AB49" s="689"/>
      <c r="AC49" s="689"/>
      <c r="AD49" s="141"/>
    </row>
    <row r="50" spans="1:30">
      <c r="A50" s="142"/>
      <c r="B50" s="686"/>
      <c r="C50" s="686"/>
      <c r="D50" s="686"/>
      <c r="E50" s="686"/>
      <c r="F50" s="686"/>
      <c r="G50" s="686"/>
      <c r="H50" s="686"/>
      <c r="I50" s="689" t="str">
        <f>IF(I48="","",IF(OR(I48="Félicitations, vous vous êtes fait avoir !! Vous avez gagner le droit de recommencer !",I48="… Et bien non rien de tout cela ! Recommencez donc … !"),"Revoir l'addition en clair ?! Cliquez ICI !",""))</f>
        <v/>
      </c>
      <c r="J50" s="689"/>
      <c r="K50" s="689"/>
      <c r="L50" s="689"/>
      <c r="M50" s="689"/>
      <c r="N50" s="689"/>
      <c r="O50" s="689"/>
      <c r="P50" s="689"/>
      <c r="Q50" s="689"/>
      <c r="R50" s="689"/>
      <c r="S50" s="689"/>
      <c r="T50" s="689"/>
      <c r="U50" s="689"/>
      <c r="V50" s="689"/>
      <c r="W50" s="689"/>
      <c r="X50" s="689"/>
      <c r="Y50" s="689"/>
      <c r="Z50" s="689"/>
      <c r="AA50" s="689"/>
      <c r="AB50" s="689"/>
      <c r="AC50" s="689"/>
      <c r="AD50" s="141"/>
    </row>
    <row r="51" spans="1:30">
      <c r="A51" s="142"/>
      <c r="B51" s="686"/>
      <c r="C51" s="686"/>
      <c r="D51" s="686"/>
      <c r="E51" s="686"/>
      <c r="F51" s="686"/>
      <c r="G51" s="686"/>
      <c r="H51" s="686"/>
      <c r="I51" s="686"/>
      <c r="J51" s="686"/>
      <c r="K51" s="686"/>
      <c r="L51" s="686"/>
      <c r="M51" s="686"/>
      <c r="N51" s="686"/>
      <c r="O51" s="686"/>
      <c r="P51" s="686"/>
      <c r="Q51" s="686"/>
      <c r="R51" s="686"/>
      <c r="S51" s="686"/>
      <c r="T51" s="686"/>
      <c r="U51" s="686"/>
      <c r="V51" s="686"/>
      <c r="W51" s="686"/>
      <c r="X51" s="686"/>
      <c r="Y51" s="686"/>
      <c r="Z51" s="686"/>
      <c r="AA51" s="686"/>
      <c r="AB51" s="686"/>
      <c r="AC51" s="686"/>
      <c r="AD51" s="141"/>
    </row>
  </sheetData>
  <sheetProtection password="8B0A" sheet="1" objects="1" scenarios="1"/>
  <mergeCells count="48">
    <mergeCell ref="B3:H3"/>
    <mergeCell ref="I3:J3"/>
    <mergeCell ref="I50:AC50"/>
    <mergeCell ref="B49:AC49"/>
    <mergeCell ref="B50:H50"/>
    <mergeCell ref="B6:AC6"/>
    <mergeCell ref="A13:AC13"/>
    <mergeCell ref="A16:AC16"/>
    <mergeCell ref="A20:AC20"/>
    <mergeCell ref="A36:AC36"/>
    <mergeCell ref="C47:F47"/>
    <mergeCell ref="A44:AC44"/>
    <mergeCell ref="H39:M39"/>
    <mergeCell ref="B43:AC43"/>
    <mergeCell ref="V39:Y39"/>
    <mergeCell ref="V41:Y41"/>
    <mergeCell ref="B51:AC51"/>
    <mergeCell ref="G48:H48"/>
    <mergeCell ref="C48:F48"/>
    <mergeCell ref="I48:AC48"/>
    <mergeCell ref="A1:AC1"/>
    <mergeCell ref="A4:AC4"/>
    <mergeCell ref="G47:H47"/>
    <mergeCell ref="J47:K47"/>
    <mergeCell ref="M47:N47"/>
    <mergeCell ref="P47:Q47"/>
    <mergeCell ref="S47:T47"/>
    <mergeCell ref="V47:W47"/>
    <mergeCell ref="Y47:Z47"/>
    <mergeCell ref="AB47:AC47"/>
    <mergeCell ref="A5:AC5"/>
    <mergeCell ref="P34:AC35"/>
    <mergeCell ref="A2:AC2"/>
    <mergeCell ref="A7:AC7"/>
    <mergeCell ref="A10:AC10"/>
    <mergeCell ref="B29:AC29"/>
    <mergeCell ref="B45:AC45"/>
    <mergeCell ref="J8:AC8"/>
    <mergeCell ref="O11:AC11"/>
    <mergeCell ref="L14:AC14"/>
    <mergeCell ref="C19:AC19"/>
    <mergeCell ref="M21:AC21"/>
    <mergeCell ref="P24:AC27"/>
    <mergeCell ref="P31:AC31"/>
    <mergeCell ref="B37:AC37"/>
    <mergeCell ref="A23:AC23"/>
    <mergeCell ref="A30:AC30"/>
    <mergeCell ref="A33:AC33"/>
  </mergeCells>
  <conditionalFormatting sqref="F39:F41">
    <cfRule type="iconSet" priority="42">
      <iconSet iconSet="3Symbols" showValue="0">
        <cfvo type="percent" val="0"/>
        <cfvo type="num" val="0"/>
        <cfvo type="num" val="1"/>
      </iconSet>
    </cfRule>
  </conditionalFormatting>
  <conditionalFormatting sqref="F40">
    <cfRule type="iconSet" priority="41">
      <iconSet iconSet="3Symbols" showValue="0">
        <cfvo type="percent" val="0"/>
        <cfvo type="num" val="0"/>
        <cfvo type="num" val="1"/>
      </iconSet>
    </cfRule>
  </conditionalFormatting>
  <conditionalFormatting sqref="F41">
    <cfRule type="iconSet" priority="40">
      <iconSet iconSet="3Symbols" showValue="0">
        <cfvo type="percent" val="0"/>
        <cfvo type="num" val="0"/>
        <cfvo type="num" val="1"/>
      </iconSet>
    </cfRule>
  </conditionalFormatting>
  <conditionalFormatting sqref="E42">
    <cfRule type="iconSet" priority="39">
      <iconSet iconSet="3Symbols" showValue="0">
        <cfvo type="percent" val="0"/>
        <cfvo type="num" val="0"/>
        <cfvo type="num" val="1"/>
      </iconSet>
    </cfRule>
  </conditionalFormatting>
  <conditionalFormatting sqref="D42:E42">
    <cfRule type="iconSet" priority="38">
      <iconSet iconSet="3Symbols" showValue="0">
        <cfvo type="percent" val="0"/>
        <cfvo type="num" val="0"/>
        <cfvo type="num" val="1"/>
      </iconSet>
    </cfRule>
  </conditionalFormatting>
  <conditionalFormatting sqref="C42:E42">
    <cfRule type="iconSet" priority="37">
      <iconSet iconSet="3Symbols" showValue="0">
        <cfvo type="percent" val="0"/>
        <cfvo type="num" val="0"/>
        <cfvo type="num" val="1"/>
      </iconSet>
    </cfRule>
  </conditionalFormatting>
  <conditionalFormatting sqref="F9">
    <cfRule type="iconSet" priority="34">
      <iconSet iconSet="3Symbols" showValue="0">
        <cfvo type="percent" val="0"/>
        <cfvo type="num" val="0"/>
        <cfvo type="num" val="1"/>
      </iconSet>
    </cfRule>
  </conditionalFormatting>
  <conditionalFormatting sqref="G9">
    <cfRule type="iconSet" priority="33">
      <iconSet iconSet="3Symbols" showValue="0">
        <cfvo type="percent" val="0"/>
        <cfvo type="num" val="0"/>
        <cfvo type="num" val="1"/>
      </iconSet>
    </cfRule>
  </conditionalFormatting>
  <conditionalFormatting sqref="H9">
    <cfRule type="iconSet" priority="32">
      <iconSet iconSet="3Symbols" showValue="0">
        <cfvo type="percent" val="0"/>
        <cfvo type="num" val="0"/>
        <cfvo type="num" val="1"/>
      </iconSet>
    </cfRule>
  </conditionalFormatting>
  <conditionalFormatting sqref="I9">
    <cfRule type="iconSet" priority="31">
      <iconSet iconSet="3Symbols" showValue="0">
        <cfvo type="percent" val="0"/>
        <cfvo type="num" val="0"/>
        <cfvo type="num" val="1"/>
      </iconSet>
    </cfRule>
  </conditionalFormatting>
  <conditionalFormatting sqref="F12:N12">
    <cfRule type="iconSet" priority="30">
      <iconSet iconSet="3Symbols" showValue="0">
        <cfvo type="percent" val="0"/>
        <cfvo type="num" val="0"/>
        <cfvo type="num" val="1"/>
      </iconSet>
    </cfRule>
  </conditionalFormatting>
  <conditionalFormatting sqref="F15">
    <cfRule type="iconSet" priority="28">
      <iconSet iconSet="3Symbols" showValue="0">
        <cfvo type="percent" val="0"/>
        <cfvo type="num" val="0"/>
        <cfvo type="num" val="1"/>
      </iconSet>
    </cfRule>
  </conditionalFormatting>
  <conditionalFormatting sqref="G15">
    <cfRule type="iconSet" priority="26">
      <iconSet iconSet="3Symbols" showValue="0">
        <cfvo type="percent" val="0"/>
        <cfvo type="num" val="0"/>
        <cfvo type="num" val="1"/>
      </iconSet>
    </cfRule>
  </conditionalFormatting>
  <conditionalFormatting sqref="H15:K15">
    <cfRule type="iconSet" priority="25">
      <iconSet iconSet="3Symbols" showValue="0">
        <cfvo type="percent" val="0"/>
        <cfvo type="num" val="0"/>
        <cfvo type="num" val="1"/>
      </iconSet>
    </cfRule>
  </conditionalFormatting>
  <conditionalFormatting sqref="F18:AB18">
    <cfRule type="iconSet" priority="24">
      <iconSet iconSet="3Symbols" showValue="0">
        <cfvo type="percent" val="0"/>
        <cfvo type="num" val="0"/>
        <cfvo type="num" val="1"/>
      </iconSet>
    </cfRule>
  </conditionalFormatting>
  <conditionalFormatting sqref="F22:L22">
    <cfRule type="iconSet" priority="23">
      <iconSet iconSet="3Symbols" showValue="0">
        <cfvo type="percent" val="0"/>
        <cfvo type="num" val="0"/>
        <cfvo type="num" val="1"/>
      </iconSet>
    </cfRule>
  </conditionalFormatting>
  <conditionalFormatting sqref="O24">
    <cfRule type="iconSet" priority="22">
      <iconSet iconSet="3Symbols" showValue="0">
        <cfvo type="percent" val="0"/>
        <cfvo type="num" val="0"/>
        <cfvo type="num" val="1"/>
      </iconSet>
    </cfRule>
  </conditionalFormatting>
  <conditionalFormatting sqref="M25">
    <cfRule type="iconSet" priority="21">
      <iconSet iconSet="3Symbols" showValue="0">
        <cfvo type="percent" val="0"/>
        <cfvo type="num" val="0"/>
        <cfvo type="num" val="1"/>
      </iconSet>
    </cfRule>
  </conditionalFormatting>
  <conditionalFormatting sqref="M26">
    <cfRule type="iconSet" priority="20">
      <iconSet iconSet="3Symbols" showValue="0">
        <cfvo type="percent" val="0"/>
        <cfvo type="num" val="0"/>
        <cfvo type="num" val="1"/>
      </iconSet>
    </cfRule>
  </conditionalFormatting>
  <conditionalFormatting sqref="I27">
    <cfRule type="iconSet" priority="19">
      <iconSet iconSet="3Symbols" showValue="0">
        <cfvo type="percent" val="0"/>
        <cfvo type="num" val="0"/>
        <cfvo type="num" val="1"/>
      </iconSet>
    </cfRule>
  </conditionalFormatting>
  <conditionalFormatting sqref="G32:O32">
    <cfRule type="iconSet" priority="18">
      <iconSet iconSet="3Symbols" showValue="0">
        <cfvo type="percent" val="0"/>
        <cfvo type="num" val="0"/>
        <cfvo type="num" val="1"/>
      </iconSet>
    </cfRule>
  </conditionalFormatting>
  <conditionalFormatting sqref="G35:O35">
    <cfRule type="iconSet" priority="17">
      <iconSet iconSet="3Symbols" showValue="0">
        <cfvo type="percent" val="0"/>
        <cfvo type="num" val="0"/>
        <cfvo type="num" val="1"/>
      </iconSet>
    </cfRule>
  </conditionalFormatting>
  <conditionalFormatting sqref="P31:AC31">
    <cfRule type="expression" dxfId="317" priority="16">
      <formula>$P$31="Indice : Uniquement divisible par 1 et lui-même"</formula>
    </cfRule>
  </conditionalFormatting>
  <conditionalFormatting sqref="P34:AC35">
    <cfRule type="expression" dxfId="316" priority="14">
      <formula>$P$34="Indice : La réponse se trouve avant !"</formula>
    </cfRule>
  </conditionalFormatting>
  <conditionalFormatting sqref="P24:AC27">
    <cfRule type="expression" dxfId="315" priority="13">
      <formula>$P$24="Indice : Vous touchez la réponse du bout de vos doigts !"</formula>
    </cfRule>
  </conditionalFormatting>
  <conditionalFormatting sqref="L14:AC14">
    <cfRule type="expression" dxfId="314" priority="12">
      <formula>$L$14="Indice : Me voici tout mouillé, j'ai suivi un nuage pluvieux!"</formula>
    </cfRule>
  </conditionalFormatting>
  <conditionalFormatting sqref="B43:AC43">
    <cfRule type="expression" dxfId="313" priority="11">
      <formula>$B$43="Indice : Les paires au coin "</formula>
    </cfRule>
  </conditionalFormatting>
  <conditionalFormatting sqref="G48:H48">
    <cfRule type="expression" dxfId="312" priority="10">
      <formula>$C$48&lt;&gt;""</formula>
    </cfRule>
  </conditionalFormatting>
  <conditionalFormatting sqref="I48:AC48 I50:AC50">
    <cfRule type="expression" dxfId="311" priority="9">
      <formula>$AD$48="RAZ"</formula>
    </cfRule>
  </conditionalFormatting>
  <conditionalFormatting sqref="AB47:AC47">
    <cfRule type="expression" dxfId="310" priority="7">
      <formula>$G$48&lt;&gt;""</formula>
    </cfRule>
  </conditionalFormatting>
  <conditionalFormatting sqref="J40">
    <cfRule type="expression" dxfId="309" priority="4">
      <formula>OR($D$39=3,$E$39=3,$C$40=3,$E$40=3,$C$41=3,$D$41=3)</formula>
    </cfRule>
  </conditionalFormatting>
  <conditionalFormatting sqref="I40">
    <cfRule type="expression" dxfId="308" priority="5">
      <formula>OR($D$39=2,$E$39=2,$C$40=2,$E$40=2,$C$41=2,$D$41=2)</formula>
    </cfRule>
  </conditionalFormatting>
  <conditionalFormatting sqref="K40">
    <cfRule type="expression" dxfId="307" priority="3">
      <formula>OR($D$39=7,$E$39=7,$C$40=7,$E$40=7,$C$41=7,$D$41=7)</formula>
    </cfRule>
  </conditionalFormatting>
  <conditionalFormatting sqref="L40">
    <cfRule type="expression" dxfId="306" priority="2">
      <formula>OR($D$39=8,$E$39=8,$C$40=8,$E$40=8,$C$41=8,$D$41=8)</formula>
    </cfRule>
  </conditionalFormatting>
  <conditionalFormatting sqref="M40">
    <cfRule type="expression" dxfId="305" priority="1">
      <formula>OR($D$39=9,$E$39=9,$C$40=9,$E$40=9,$C$41=9,$D$41=9)</formula>
    </cfRule>
  </conditionalFormatting>
  <conditionalFormatting sqref="H40">
    <cfRule type="expression" dxfId="304" priority="6">
      <formula>OR($D$39=1,$E$39=1,$C$40=1,$E$40=1,$C$41=1,$D$41=1)</formula>
    </cfRule>
  </conditionalFormatting>
  <dataValidations count="1">
    <dataValidation type="list" allowBlank="1" showInputMessage="1" showErrorMessage="1" sqref="I3">
      <formula1>"oui,non"</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sheetPr codeName="Feuil7"/>
  <dimension ref="A1:B7"/>
  <sheetViews>
    <sheetView showGridLines="0" showRowColHeaders="0" workbookViewId="0">
      <selection sqref="A1:B3"/>
    </sheetView>
  </sheetViews>
  <sheetFormatPr baseColWidth="10" defaultColWidth="0" defaultRowHeight="15" zeroHeight="1"/>
  <cols>
    <col min="1" max="1" width="5.28515625" customWidth="1"/>
    <col min="2" max="2" width="98.140625" customWidth="1"/>
    <col min="3" max="16384" width="11.42578125" hidden="1"/>
  </cols>
  <sheetData>
    <row r="1" spans="1:2" ht="25.5" customHeight="1">
      <c r="A1" s="706" t="s">
        <v>478</v>
      </c>
      <c r="B1" s="707"/>
    </row>
    <row r="2" spans="1:2" ht="15" customHeight="1">
      <c r="A2" s="708"/>
      <c r="B2" s="709"/>
    </row>
    <row r="3" spans="1:2" ht="19.5" customHeight="1" thickBot="1">
      <c r="A3" s="710"/>
      <c r="B3" s="711"/>
    </row>
    <row r="4" spans="1:2">
      <c r="A4" s="702">
        <f>IF(X²!B3="",0,2)</f>
        <v>0</v>
      </c>
      <c r="B4" s="700" t="s">
        <v>108</v>
      </c>
    </row>
    <row r="5" spans="1:2">
      <c r="A5" s="703"/>
      <c r="B5" s="701"/>
    </row>
    <row r="6" spans="1:2" ht="15" customHeight="1">
      <c r="A6" s="703">
        <f>IF(AND(x³!F15="",x³!G15="",x³!H15="",x³!M4&lt;&gt;""),1,IF(AND(x³!F15="",x³!G15="",x³!H15=""),0,IF(OR(x³!F15="",x³!G15="",x³!H15=""),1,IF(AND(x³!F15&lt;&gt;"",x³!G15&lt;&gt;"",x³!H15&lt;&gt;"",x³!A29=""),2,1))))</f>
        <v>0</v>
      </c>
      <c r="B6" s="701" t="s">
        <v>107</v>
      </c>
    </row>
    <row r="7" spans="1:2" ht="15.75" customHeight="1" thickBot="1">
      <c r="A7" s="704"/>
      <c r="B7" s="705"/>
    </row>
  </sheetData>
  <sheetProtection password="8B0A" sheet="1" objects="1" scenarios="1"/>
  <mergeCells count="5">
    <mergeCell ref="B4:B5"/>
    <mergeCell ref="A4:A5"/>
    <mergeCell ref="A6:A7"/>
    <mergeCell ref="B6:B7"/>
    <mergeCell ref="A1:B3"/>
  </mergeCells>
  <conditionalFormatting sqref="A4">
    <cfRule type="iconSet" priority="2">
      <iconSet iconSet="3TrafficLights2" showValue="0" reverse="1">
        <cfvo type="percent" val="0"/>
        <cfvo type="num" val="1"/>
        <cfvo type="num" val="1"/>
      </iconSet>
    </cfRule>
  </conditionalFormatting>
  <conditionalFormatting sqref="A6">
    <cfRule type="iconSet" priority="1">
      <iconSet iconSet="3TrafficLights2" showValue="0" reverse="1">
        <cfvo type="percent" val="0"/>
        <cfvo type="num" val="1"/>
        <cfvo type="num" val="2"/>
      </iconSet>
    </cfRule>
  </conditionalFormatting>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sheetPr codeName="Feuil8"/>
  <dimension ref="A1:F31"/>
  <sheetViews>
    <sheetView showGridLines="0" showRowColHeaders="0" workbookViewId="0">
      <selection activeCell="A4" sqref="A4:E4"/>
    </sheetView>
  </sheetViews>
  <sheetFormatPr baseColWidth="10" defaultColWidth="0" defaultRowHeight="15" zeroHeight="1"/>
  <cols>
    <col min="1" max="1" width="65.85546875" style="21" customWidth="1"/>
    <col min="2" max="2" width="13.42578125" style="21" customWidth="1"/>
    <col min="3" max="3" width="7.42578125" style="21" customWidth="1"/>
    <col min="4" max="4" width="10" style="21" customWidth="1"/>
    <col min="5" max="5" width="18.5703125" style="21" customWidth="1"/>
    <col min="6" max="16384" width="11.42578125" style="21" hidden="1"/>
  </cols>
  <sheetData>
    <row r="1" spans="1:5" ht="33.75" customHeight="1">
      <c r="A1" s="731" t="s">
        <v>108</v>
      </c>
      <c r="B1" s="732"/>
      <c r="C1" s="732"/>
      <c r="D1" s="732"/>
      <c r="E1" s="733"/>
    </row>
    <row r="2" spans="1:5" ht="16.5" thickBot="1">
      <c r="A2" s="740" t="str">
        <f>IF(AND(B3&lt;&gt;"",ISNUMBER(B3)=TRUE,A5="",A6=""),"2 bonus se cachent dans la feuille, saurez vous trouvez les bons nombres pour les débloquer…?",IF(AND(Table9!D2="oui",Table11!B2="oui"),"Bravo vous avez trouvé les 2 bonus!",IF(OR(AND(Table9!D2="oui",Table11!B2&lt;&gt;"oui"),AND(Table9!D2&lt;&gt;"oui",Table11!B2="oui")),"Bravo vous avez trouvé 1 Bonus / 2","")))</f>
        <v/>
      </c>
      <c r="B2" s="741"/>
      <c r="C2" s="741"/>
      <c r="D2" s="741"/>
      <c r="E2" s="742"/>
    </row>
    <row r="3" spans="1:5" ht="19.5" thickBot="1">
      <c r="A3" s="37" t="str">
        <f>IF(B3="","Choississez un nombre :","Supprimer / Modifier pour recommencer &gt;&gt;&gt; ")</f>
        <v>Choississez un nombre :</v>
      </c>
      <c r="B3" s="36"/>
      <c r="C3" s="737"/>
      <c r="D3" s="738"/>
      <c r="E3" s="739"/>
    </row>
    <row r="4" spans="1:5" ht="46.5" customHeight="1">
      <c r="A4" s="734" t="str">
        <f>IF(ISNUMBER(B3)=TRUE,IF(OR(B3="",B3&gt;9999,B3&lt;0,B3&lt;&gt;ROUNDDOWN(B3,0)),"Merci de saisir un nombre entier.",IF(AND(B3&gt;0,B3&lt;11),"On ne va quand même pas ... !",IF(OR(B3-ROUNDDOWN(B3/10,0)*10=0,B3=0),"o_O' , comment ça, on ne connait pas sa table des dizaines ?! C'est pourtant pas bien compliqué !!",IF(B3="","","Vous souhaitez donc connaitre comment se calcule le carré de "&amp;B3&amp;".                                                                                                                                        Je vous invite donc à regarder le détail du calcul ci-dessous.")))),"Merci de saisir un nombre entier.")</f>
        <v>Merci de saisir un nombre entier.</v>
      </c>
      <c r="B4" s="735"/>
      <c r="C4" s="735"/>
      <c r="D4" s="735"/>
      <c r="E4" s="736"/>
    </row>
    <row r="5" spans="1:5" ht="12.75" customHeight="1">
      <c r="A5" s="730" t="str">
        <f>IF(OR(Table11!B2="oui",B3=11),"Bravo ! Vous avez débloqué un des 2 bonus &gt;&gt;&gt; Découvrez une astuce propre à la table de 11","")</f>
        <v/>
      </c>
      <c r="B5" s="730"/>
      <c r="C5" s="730"/>
      <c r="D5" s="730"/>
      <c r="E5" s="730"/>
    </row>
    <row r="6" spans="1:5" ht="15" customHeight="1">
      <c r="A6" s="730" t="str">
        <f>IF(OR(Table9!D2="oui",B3=9),"Bravo ! Vous avez débloqué un des 2 bonus &gt;&gt;&gt; Découvrez l'astuce de la Table de 9","")</f>
        <v/>
      </c>
      <c r="B6" s="730"/>
      <c r="C6" s="730"/>
      <c r="D6" s="730"/>
      <c r="E6" s="730"/>
    </row>
    <row r="7" spans="1:5" ht="15" hidden="1" customHeight="1">
      <c r="A7" s="35" t="str">
        <f>"1) Dizaines et + / Unité"</f>
        <v>1) Dizaines et + / Unité</v>
      </c>
      <c r="B7" s="34"/>
      <c r="C7" s="33" t="str">
        <f>IF(B3="","",ROUNDDOWN(B3/10,0))</f>
        <v/>
      </c>
      <c r="D7" s="33" t="str">
        <f>IF(B3="","",B3-C7*10)</f>
        <v/>
      </c>
      <c r="E7" s="240"/>
    </row>
    <row r="8" spans="1:5" ht="15.75" hidden="1">
      <c r="A8" s="718" t="str">
        <f>IF(C7="","",IF(C7=0,"2) Vous avez donc choisi de mettre au carré le chiffre suivant :","2) Vous avez donc choisi de mettre au carré le nombre suivant :"))</f>
        <v/>
      </c>
      <c r="B8" s="719"/>
      <c r="C8" s="719"/>
      <c r="D8" s="33" t="str">
        <f>IF(C7="","",C7&amp;D7)</f>
        <v/>
      </c>
      <c r="E8" s="240"/>
    </row>
    <row r="9" spans="1:5">
      <c r="A9" s="718" t="str">
        <f>IF(D8&lt;&gt;"","  On décompose le calcul de la manière suivante :","")</f>
        <v/>
      </c>
      <c r="B9" s="719"/>
      <c r="C9" s="719"/>
      <c r="D9" s="719"/>
      <c r="E9" s="720"/>
    </row>
    <row r="10" spans="1:5">
      <c r="A10" s="727" t="str">
        <f>IF(D8="","",IF(OR(D7=4,D7=5,D7=6),"   &gt; On multiplie le nombre 'dizaine' (dont l'unité est 5) par son suivant (sans les '0') et on y 'colle' 25 (5²)",IF(OR(D7=1,D7=2,D7=3,D7=7,D7=8,D7=9),"   &gt; On décale l'unité de façon à obtenir la dizaine la plus proche (cela créer un écart)","")))</f>
        <v/>
      </c>
      <c r="B10" s="728"/>
      <c r="C10" s="728"/>
      <c r="D10" s="728"/>
      <c r="E10" s="729"/>
    </row>
    <row r="11" spans="1:5">
      <c r="A11" s="727" t="str">
        <f>IF(D8="","",IF(OR(D7=4,D7=5,D7=6),"   &gt; On ajoute/soustrait l'éventuel écart",IF(OR(D7=1,D7=2,D7=3,D7=7,D7=8,D7=9),"   &gt; On décale l'unité de façon à compenser la première opération (valeur 'écart')","")))</f>
        <v/>
      </c>
      <c r="B11" s="728"/>
      <c r="C11" s="728"/>
      <c r="D11" s="728"/>
      <c r="E11" s="729"/>
    </row>
    <row r="12" spans="1:5">
      <c r="A12" s="727" t="str">
        <f>IF(D8="","",IF(OR(D7=4,D7=5,D7=6),"",IF(OR(D7=1,D7=2,D7=3,D7=7,D7=8,D7=9),"   &gt; On multiplie le second nombre obtenu par la dizaine obtenue (sans le '0')","")))</f>
        <v/>
      </c>
      <c r="B12" s="728"/>
      <c r="C12" s="728"/>
      <c r="D12" s="728"/>
      <c r="E12" s="729"/>
    </row>
    <row r="13" spans="1:5">
      <c r="A13" s="727" t="str">
        <f>IF(D8="","",IF(OR(D7=4,D7=5,D7=6),"",IF(OR(D7=1,D7=2,D7=3,D7=7,D7=8,D7=9),"   &gt; On 'colle' à la suite du précédent résultat, le résultat obtenu en mettannt l'écart au carré","")))</f>
        <v/>
      </c>
      <c r="B13" s="728"/>
      <c r="C13" s="728"/>
      <c r="D13" s="728"/>
      <c r="E13" s="729"/>
    </row>
    <row r="14" spans="1:5">
      <c r="A14" s="715"/>
      <c r="B14" s="716"/>
      <c r="C14" s="716"/>
      <c r="D14" s="716"/>
      <c r="E14" s="717"/>
    </row>
    <row r="15" spans="1:5">
      <c r="A15" s="718" t="str">
        <f>IF(D8="","","  Dans votre cas, on "&amp;IF(OR(D7=4,D7=6),"commence par calculer ",IF(OR(D7=1,D7=2,D7=3,D7=5,D7=7,D7=8,D7=9),"calcule ",""))&amp;IF(D8="","",IF(D7=4,D8+1,IF(D7=6,D8-1,D8)))&amp;"² de la manière ci-dessous :")</f>
        <v/>
      </c>
      <c r="B15" s="719"/>
      <c r="C15" s="719"/>
      <c r="D15" s="719"/>
      <c r="E15" s="720"/>
    </row>
    <row r="16" spans="1:5">
      <c r="A16" s="30" t="str">
        <f>IF(D8="","",IF(OR(D7=4,D7=5,D7=6),"- Le 'chiffre diziane' X le 'chiffre diziane' suivant ",IF(OR(D7=1,D7=2,D7=3,D7=7,D7=8,D7=9),"- Obtenir la dizaine la + proche (ici, la dizaine "&amp;IF(OR(D7=1,D7=2,D7=3),"inférieure )",IF(OR(D7=7,D7=8,D7=9),"supérieure )",)))))</f>
        <v/>
      </c>
      <c r="B16" s="29" t="str">
        <f>IF(D8="","",IF(OR(D7=4,D7=5,D7=6),C7&amp;" x "&amp;" ( "&amp;C7&amp;" + 1 )",IF(OR(D7=1,D7=2,D7=3,D7=7,D7=8,D7=9),D8&amp;IF(OR(D7=1,D7=2,D7=3)," - ",IF(OR(D7=7,D7=8,D7=9)," + ",""))&amp;IF(OR(D7=1,D7=2,D7=3),D7,IF(OR(D7=7,D7=8,D7=9),10-D7,"")))))</f>
        <v/>
      </c>
      <c r="C16" s="28" t="str">
        <f>IF(A15&lt;&gt;"","soit","")</f>
        <v/>
      </c>
      <c r="D16" s="32" t="str">
        <f>IF(C7="","",IF(OR(D7=4,D7=5,D7=6),C7*(C7+1),IF(OR(D7=1,D7=2,D7=3),D8-D7,IF(OR(D7=7,D7=8,D7=9),D8+10-D7,""))))</f>
        <v/>
      </c>
      <c r="E16" s="241" t="str">
        <f>IF(OR(D7=1,D7=2,D7=3,D7=7,D7=8,D7=9),"on retient : "&amp;D16/10,"")</f>
        <v/>
      </c>
    </row>
    <row r="17" spans="1:6">
      <c r="A17" s="30" t="str">
        <f>IF(D8="","",IF(A15&lt;&gt;"",IF(OR(D7=4,D7=5,D7=6),"- et toujours suivi de 5² pour l'unité ",IF(OR(D7=1,D7=2,D7=3),"- Obtenir le nouveau nombre (nombre choisi + valeur 'écart')",IF(OR(D7=7,D7=8,D7=9),"- Obtenir le nouveau nombre (nombre choisi - valeur 'écart')")))))</f>
        <v/>
      </c>
      <c r="B17" s="29" t="str">
        <f>IF(D8="","",IF(A15&lt;&gt;"",IF(OR(D7=4,D7=5,D7=6),5&amp;"²",IF(OR(D7=1,D7=2,D7=3,D7=7,D7=8,D7=9),D8&amp;IF(OR(D7=1,D7=2,D7=3)," + ",IF(OR(D7=7,D7=8,D7=9)," - ",""))&amp;IF(OR(D7=1,D7=2,D7=3),D7,IF(OR(D7=7,D7=8,D7=9),10-D7,""))))))</f>
        <v/>
      </c>
      <c r="C17" s="28" t="str">
        <f>IF(A15&lt;&gt;"","soit","")</f>
        <v/>
      </c>
      <c r="D17" s="32" t="str">
        <f>IF(A15="","",IF(OR(D7=4,D7=5,D7=6),25,IF(OR(D7=1,D7=2,D7=3),D8+D7,IF(OR(D7=7,D7=8,D7=9),D8-10+D7,""))))</f>
        <v/>
      </c>
      <c r="E17" s="241" t="str">
        <f>IF(OR(D7=1,D7=2,D7=3,D7=7,D7=8,D7=9),"on retient : "&amp;D17,"")</f>
        <v/>
      </c>
    </row>
    <row r="18" spans="1:6">
      <c r="A18" s="30" t="str">
        <f>IF(D8="","",IF(OR(D7=4,D7=5,D7=6),"",IF(OR(D7=1,D7=2,D7=3,D7=7,D7=8,D7=9),"- Multiplier le nombre obtenu ("&amp;D17&amp;") par la dizaine obtenue ("&amp;D16/10&amp;")")))</f>
        <v/>
      </c>
      <c r="B18" s="29" t="str">
        <f>IF(D8="","",IF(OR(D7=4,D7=5,D7=6),"",IF(OR(D7=1,D7=2,D7=3,D7=7,D7=8,D7=9),D16/10&amp;" * "&amp;D17)))</f>
        <v/>
      </c>
      <c r="C18" s="28" t="str">
        <f>IF(OR(D8="",B3&lt;11),"",IF(OR(D7=4,D7=5,D7=6),"TOTAL",IF(OR(D7=1,D7=2,D7=3,D7=7,D7=8,D7=9),"soit")))</f>
        <v/>
      </c>
      <c r="D18" s="32" t="str">
        <f>IF(D8="","",IF(C18="TOTAL",D16&amp;D17,D16/10*D17))</f>
        <v/>
      </c>
      <c r="E18" s="242"/>
    </row>
    <row r="19" spans="1:6">
      <c r="A19" s="30" t="str">
        <f>IF(D8="","",IF(OR(D7=4,D7=5,D7=6),"",IF(OR(D7=1,D7=2,D7=3,D7=7,D7=8,D7=9),"- Ajouter à la fin le carré de la valeur 'écart'")))</f>
        <v/>
      </c>
      <c r="B19" s="29" t="str">
        <f>IF(D8="","",IF(OR(D7=4,D7=5,D7=6),"",IF(OR(D7=1,D7=2,D7=3,D7=7,D7=8,D7=9),IF(OR(D7=1,D7=2,D7=3),D7,IF(OR(D7=7,D7=8,D7=9),10-D7,""))&amp;"²")))</f>
        <v/>
      </c>
      <c r="C19" s="28" t="str">
        <f>IF(D8="","",IF(OR(D7=4,D7=5,D7=6),"",IF(OR(D7=1,D7=2,D7=3,D7=7,D7=8,D7=9),"soit")))</f>
        <v/>
      </c>
      <c r="D19" s="31" t="str">
        <f>IF(D8="","",IF(C18="TOTAL","",IF(OR(D7=1,D7=2,D7=3),D7*D7,IF(OR(D7=7,D7=8,D7=9),(10-D7)*(10-D7),""))))</f>
        <v/>
      </c>
      <c r="E19" s="242"/>
    </row>
    <row r="20" spans="1:6">
      <c r="A20" s="27"/>
      <c r="B20" s="26"/>
      <c r="C20" s="28" t="str">
        <f>IF(OR(A4="On ne va quand même pas ... !",D8=""),"",IF(OR(D7=4,D7=5,D7=6),"",IF(OR(D7=1,D7=2,D7=3,D7=7,D7=8,D7=9),"TOTAL")))</f>
        <v/>
      </c>
      <c r="D20" s="360" t="str">
        <f>IF(D8="","",IF(C20="TOTAL",D18&amp;D19,""))</f>
        <v/>
      </c>
      <c r="E20" s="242"/>
    </row>
    <row r="21" spans="1:6">
      <c r="A21" s="718" t="str">
        <f>IF(D8="","",IF(OR(D7=4,D7=6),"Puis, on doit tenir compte de l'écart créé par le premier calcul, pour cela on"&amp;IF(D7=4," SOUSTRAIT ",IF(D7=6," AJOUTE ",""))&amp;":",""))</f>
        <v/>
      </c>
      <c r="B21" s="719"/>
      <c r="C21" s="719"/>
      <c r="D21" s="719"/>
      <c r="E21" s="720"/>
    </row>
    <row r="22" spans="1:6">
      <c r="A22" s="30" t="str">
        <f>IF(A21&lt;&gt;"","- La somme du nombre choisi ("&amp;D8&amp;") et le nombre "&amp;IF(D7=4,D8+1,IF(D7=6,D8-1,D8)),"")</f>
        <v/>
      </c>
      <c r="B22" s="29" t="str">
        <f>IF(A21&lt;&gt;"",IF(C7="","",D8&amp;" + "&amp;IF(D7=4,D8+1,IF(D7=6,D8-1,D8))),"")</f>
        <v/>
      </c>
      <c r="C22" s="28" t="str">
        <f>IF(A21&lt;&gt;"","soit","")</f>
        <v/>
      </c>
      <c r="D22" s="360" t="str">
        <f>IF(C22&lt;&gt;"",IF(D7=4,-(D8*2+1),IF(D7=6,D8*2-1,"")),"")</f>
        <v/>
      </c>
      <c r="E22" s="243"/>
    </row>
    <row r="23" spans="1:6">
      <c r="A23" s="721"/>
      <c r="B23" s="722"/>
      <c r="C23" s="722"/>
      <c r="D23" s="722"/>
      <c r="E23" s="723"/>
    </row>
    <row r="24" spans="1:6" ht="23.25">
      <c r="A24" s="724" t="str">
        <f>IF(A15&lt;&gt;"","Le résultat final pour "&amp;D8&amp;"² est : "&amp;IF(D8="","",IF(OR(D7=4,D7=6),D18+D22,IF(D7=5,D18,IF(OR(D7=1,D7=2,D7=3,D7=7,D7=8,D7=9),D20,0)))),"")</f>
        <v/>
      </c>
      <c r="B24" s="725"/>
      <c r="C24" s="725"/>
      <c r="D24" s="725"/>
      <c r="E24" s="726"/>
      <c r="F24" s="25"/>
    </row>
    <row r="25" spans="1:6" ht="15.75" thickBot="1">
      <c r="A25" s="712"/>
      <c r="B25" s="713"/>
      <c r="C25" s="713"/>
      <c r="D25" s="713"/>
      <c r="E25" s="714"/>
    </row>
    <row r="26" spans="1:6" ht="15" hidden="1" customHeight="1"/>
    <row r="27" spans="1:6" ht="15" hidden="1" customHeight="1">
      <c r="A27" s="235"/>
      <c r="B27" s="235"/>
      <c r="C27" s="235"/>
      <c r="D27" s="235"/>
      <c r="E27" s="235"/>
    </row>
    <row r="28" spans="1:6" ht="15" hidden="1" customHeight="1"/>
    <row r="29" spans="1:6" ht="15" hidden="1" customHeight="1"/>
    <row r="30" spans="1:6" ht="15" hidden="1" customHeight="1">
      <c r="B30" s="22"/>
      <c r="C30" s="22"/>
      <c r="D30" s="22"/>
      <c r="E30" s="22"/>
    </row>
    <row r="31" spans="1:6" ht="15" hidden="1" customHeight="1">
      <c r="A31" s="22"/>
      <c r="B31" s="22"/>
      <c r="C31" s="22"/>
      <c r="D31" s="22"/>
      <c r="E31" s="22"/>
    </row>
  </sheetData>
  <sheetProtection password="8B0A" sheet="1" objects="1" scenarios="1" pivotTables="0"/>
  <mergeCells count="18">
    <mergeCell ref="A5:E5"/>
    <mergeCell ref="A6:E6"/>
    <mergeCell ref="A1:E1"/>
    <mergeCell ref="A4:E4"/>
    <mergeCell ref="A8:C8"/>
    <mergeCell ref="C3:E3"/>
    <mergeCell ref="A2:E2"/>
    <mergeCell ref="A9:E9"/>
    <mergeCell ref="A10:E10"/>
    <mergeCell ref="A11:E11"/>
    <mergeCell ref="A12:E12"/>
    <mergeCell ref="A13:E13"/>
    <mergeCell ref="A25:E25"/>
    <mergeCell ref="A14:E14"/>
    <mergeCell ref="A15:E15"/>
    <mergeCell ref="A23:E23"/>
    <mergeCell ref="A24:E24"/>
    <mergeCell ref="A21:E21"/>
  </mergeCells>
  <conditionalFormatting sqref="A4:E4">
    <cfRule type="expression" dxfId="303" priority="11">
      <formula>OR($A$4="On ne va quand même pas ... !",$A$4="Merci de saisir un nombre entier.",$A$4="o_O' , comment ça, on ne connait pas sa table des dizaines ?! C'est pourtant pas bien compliqué !!")</formula>
    </cfRule>
  </conditionalFormatting>
  <conditionalFormatting sqref="A5:A25 B5:E8 B16:E22">
    <cfRule type="expression" dxfId="302" priority="10">
      <formula>OR($A$4="Merci de saisir un nombre entier.",$A$4="o_O' , comment ça, on ne connait pas sa table des dizaines ?! C'est pourtant pas bien compliqué !!")</formula>
    </cfRule>
  </conditionalFormatting>
  <conditionalFormatting sqref="C18:D18">
    <cfRule type="expression" dxfId="301" priority="9">
      <formula>$C$18="TOTAL"</formula>
    </cfRule>
  </conditionalFormatting>
  <conditionalFormatting sqref="D17">
    <cfRule type="expression" dxfId="300" priority="8">
      <formula>$D$17=25</formula>
    </cfRule>
  </conditionalFormatting>
  <conditionalFormatting sqref="C20:D20">
    <cfRule type="expression" dxfId="299" priority="7">
      <formula>$C$20="TOTAL"</formula>
    </cfRule>
  </conditionalFormatting>
  <conditionalFormatting sqref="A9:A25 B16:E22">
    <cfRule type="expression" dxfId="298" priority="6">
      <formula>$A$4="On ne va quand même pas ... !"</formula>
    </cfRule>
  </conditionalFormatting>
  <conditionalFormatting sqref="A3">
    <cfRule type="expression" dxfId="297" priority="4">
      <formula>$A$3="Supprimer / Modifier pour recommencer &gt;&gt;&gt; "</formula>
    </cfRule>
  </conditionalFormatting>
  <conditionalFormatting sqref="A2:E2">
    <cfRule type="expression" dxfId="296" priority="3">
      <formula>$A$2&lt;&gt;""</formula>
    </cfRule>
  </conditionalFormatting>
  <conditionalFormatting sqref="A5:E5">
    <cfRule type="expression" dxfId="295" priority="2">
      <formula>$A$5&lt;&gt;""</formula>
    </cfRule>
  </conditionalFormatting>
  <conditionalFormatting sqref="A6:E6">
    <cfRule type="expression" dxfId="294" priority="1">
      <formula>$A$6&lt;&gt;""</formula>
    </cfRule>
  </conditionalFormatting>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sheetPr codeName="Feuil10"/>
  <dimension ref="A1:F19"/>
  <sheetViews>
    <sheetView showGridLines="0" showRowColHeaders="0" workbookViewId="0">
      <selection activeCell="D2" sqref="D2"/>
    </sheetView>
  </sheetViews>
  <sheetFormatPr baseColWidth="10" defaultColWidth="0" defaultRowHeight="15" zeroHeight="1"/>
  <cols>
    <col min="1" max="1" width="19.42578125" customWidth="1"/>
    <col min="2" max="3" width="7.5703125" customWidth="1"/>
    <col min="4" max="4" width="11.42578125" customWidth="1"/>
    <col min="5" max="5" width="0.28515625" customWidth="1"/>
    <col min="6" max="6" width="13.42578125" hidden="1" customWidth="1"/>
    <col min="7" max="16384" width="11.42578125" hidden="1"/>
  </cols>
  <sheetData>
    <row r="1" spans="1:5" ht="33.75" customHeight="1">
      <c r="A1" s="744" t="s">
        <v>126</v>
      </c>
      <c r="B1" s="744"/>
      <c r="C1" s="744"/>
      <c r="D1" s="744"/>
      <c r="E1" s="744"/>
    </row>
    <row r="2" spans="1:5" ht="13.5" customHeight="1">
      <c r="A2" s="746" t="s">
        <v>293</v>
      </c>
      <c r="B2" s="746"/>
      <c r="C2" s="746"/>
      <c r="D2" s="462"/>
      <c r="E2" s="253"/>
    </row>
    <row r="3" spans="1:5">
      <c r="A3" s="747"/>
      <c r="B3" s="747"/>
      <c r="C3" s="747"/>
      <c r="D3" s="747"/>
    </row>
    <row r="4" spans="1:5" ht="49.5" customHeight="1">
      <c r="A4" s="743" t="s">
        <v>125</v>
      </c>
      <c r="B4" s="743"/>
      <c r="C4" s="743"/>
      <c r="D4" s="743"/>
      <c r="E4" s="743"/>
    </row>
    <row r="5" spans="1:5" ht="6" customHeight="1">
      <c r="A5" s="747"/>
      <c r="B5" s="747"/>
      <c r="C5" s="747"/>
      <c r="D5" s="747"/>
    </row>
    <row r="6" spans="1:5" ht="15.75">
      <c r="A6" s="747"/>
      <c r="B6" s="40">
        <v>0</v>
      </c>
      <c r="C6" s="40">
        <v>9</v>
      </c>
      <c r="D6" s="747"/>
    </row>
    <row r="7" spans="1:5" ht="15.75">
      <c r="A7" s="747"/>
      <c r="B7" s="40">
        <v>1</v>
      </c>
      <c r="C7" s="40">
        <v>8</v>
      </c>
      <c r="D7" s="747"/>
    </row>
    <row r="8" spans="1:5" ht="15.75">
      <c r="A8" s="747"/>
      <c r="B8" s="40">
        <v>2</v>
      </c>
      <c r="C8" s="40">
        <v>7</v>
      </c>
      <c r="D8" s="747"/>
    </row>
    <row r="9" spans="1:5" ht="15.75">
      <c r="A9" s="747"/>
      <c r="B9" s="40">
        <v>3</v>
      </c>
      <c r="C9" s="40">
        <v>6</v>
      </c>
      <c r="D9" s="747"/>
    </row>
    <row r="10" spans="1:5" ht="15.75">
      <c r="A10" s="747"/>
      <c r="B10" s="40">
        <v>4</v>
      </c>
      <c r="C10" s="40">
        <v>5</v>
      </c>
      <c r="D10" s="747"/>
    </row>
    <row r="11" spans="1:5" ht="15.75">
      <c r="A11" s="747"/>
      <c r="B11" s="40">
        <v>5</v>
      </c>
      <c r="C11" s="40">
        <v>4</v>
      </c>
      <c r="D11" s="747"/>
    </row>
    <row r="12" spans="1:5" ht="15.75">
      <c r="A12" s="747"/>
      <c r="B12" s="40">
        <v>6</v>
      </c>
      <c r="C12" s="40">
        <v>3</v>
      </c>
      <c r="D12" s="747"/>
    </row>
    <row r="13" spans="1:5" ht="15.75">
      <c r="A13" s="747"/>
      <c r="B13" s="40">
        <v>7</v>
      </c>
      <c r="C13" s="40">
        <v>2</v>
      </c>
      <c r="D13" s="747"/>
    </row>
    <row r="14" spans="1:5" ht="15.75">
      <c r="A14" s="747"/>
      <c r="B14" s="40">
        <v>8</v>
      </c>
      <c r="C14" s="40">
        <v>1</v>
      </c>
      <c r="D14" s="747"/>
    </row>
    <row r="15" spans="1:5" ht="15.75">
      <c r="A15" s="747"/>
      <c r="B15" s="40">
        <v>9</v>
      </c>
      <c r="C15" s="40">
        <v>0</v>
      </c>
      <c r="D15" s="747"/>
    </row>
    <row r="16" spans="1:5">
      <c r="A16" s="747"/>
      <c r="B16" s="747"/>
      <c r="C16" s="747"/>
      <c r="D16" s="747"/>
    </row>
    <row r="17" spans="1:5" ht="39.75" customHeight="1">
      <c r="A17" s="745" t="s">
        <v>124</v>
      </c>
      <c r="B17" s="745"/>
      <c r="C17" s="745"/>
      <c r="D17" s="745"/>
      <c r="E17" s="745"/>
    </row>
    <row r="18" spans="1:5" ht="7.5" hidden="1" customHeight="1">
      <c r="A18" s="378"/>
      <c r="B18" s="378"/>
      <c r="C18" s="378"/>
      <c r="D18" s="378"/>
      <c r="E18" s="378"/>
    </row>
    <row r="19" spans="1:5" hidden="1"/>
  </sheetData>
  <sheetProtection password="8B0A" sheet="1" objects="1" scenarios="1"/>
  <mergeCells count="9">
    <mergeCell ref="A4:E4"/>
    <mergeCell ref="A1:E1"/>
    <mergeCell ref="A17:E17"/>
    <mergeCell ref="A2:C2"/>
    <mergeCell ref="A3:D3"/>
    <mergeCell ref="A5:D5"/>
    <mergeCell ref="A16:D16"/>
    <mergeCell ref="D6:D15"/>
    <mergeCell ref="A6:A15"/>
  </mergeCells>
  <dataValidations count="1">
    <dataValidation type="list" allowBlank="1" showInputMessage="1" showErrorMessage="1" sqref="D2">
      <formula1>"oui,non"</formula1>
    </dataValidation>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sheetPr codeName="Feuil11"/>
  <dimension ref="A1:G19"/>
  <sheetViews>
    <sheetView showGridLines="0" showRowColHeaders="0" workbookViewId="0">
      <selection sqref="A1:F1"/>
    </sheetView>
  </sheetViews>
  <sheetFormatPr baseColWidth="10" defaultColWidth="0" defaultRowHeight="15" zeroHeight="1"/>
  <cols>
    <col min="1" max="1" width="58.28515625" style="21" customWidth="1"/>
    <col min="2" max="5" width="11.42578125" style="21" customWidth="1"/>
    <col min="6" max="6" width="12.5703125" style="21" customWidth="1"/>
    <col min="7" max="7" width="12.42578125" style="21" hidden="1" customWidth="1"/>
    <col min="8" max="16384" width="11.42578125" style="21" hidden="1"/>
  </cols>
  <sheetData>
    <row r="1" spans="1:7" ht="29.25" customHeight="1">
      <c r="A1" s="751" t="s">
        <v>133</v>
      </c>
      <c r="B1" s="751"/>
      <c r="C1" s="751"/>
      <c r="D1" s="751"/>
      <c r="E1" s="751"/>
      <c r="F1" s="751"/>
      <c r="G1" s="212"/>
    </row>
    <row r="2" spans="1:7" ht="18.75">
      <c r="A2" s="252" t="s">
        <v>293</v>
      </c>
      <c r="B2" s="469"/>
      <c r="G2" s="212"/>
    </row>
    <row r="3" spans="1:7" ht="64.5" customHeight="1">
      <c r="A3" s="752" t="s">
        <v>132</v>
      </c>
      <c r="B3" s="752"/>
      <c r="C3" s="752"/>
      <c r="D3" s="752"/>
      <c r="E3" s="752"/>
      <c r="F3" s="752"/>
      <c r="G3" s="212"/>
    </row>
    <row r="4" spans="1:7" ht="11.25" customHeight="1" thickBot="1">
      <c r="A4" s="46"/>
      <c r="B4" s="46"/>
      <c r="C4" s="46"/>
      <c r="D4" s="46"/>
      <c r="E4" s="46"/>
      <c r="F4" s="46"/>
      <c r="G4" s="212"/>
    </row>
    <row r="5" spans="1:7" ht="16.5" thickBot="1">
      <c r="A5" s="236" t="str">
        <f>IF(B5="","Saissisez un nombre &gt;&gt;&gt;&gt;&gt;&gt;","Pour recommencer, changer votre nombre &gt;&gt;&gt;&gt;&gt;&gt;&gt; ")</f>
        <v>Saissisez un nombre &gt;&gt;&gt;&gt;&gt;&gt;</v>
      </c>
      <c r="B5" s="237"/>
      <c r="C5" s="756"/>
      <c r="D5" s="757"/>
      <c r="E5" s="757"/>
      <c r="F5" s="757"/>
      <c r="G5" s="212"/>
    </row>
    <row r="6" spans="1:7" ht="153.75" customHeight="1">
      <c r="A6" s="754" t="str">
        <f>IF(OR(B5="",B5&lt;0,ISTEXT(B5)),"",IF(OR(B5-ROUND(B5,0)&lt;&gt;0,B5=0,B5&gt;999),"Le programme est limité aux mille premiers nombres.","EXEMPLES :"&amp;IF(AND(B5&gt;0,B5&lt;100),"
Si on choisi les nombres : 13 &amp; 94
- Pour obtenir le résultat de 13 * 11, on espace le '1' et le '3' et on y glisse l'addition des 2.
On obtient donc :    1   ( 1 + 3 )   3    =&gt;    1   ( 4 )   3    =&gt;   soit  1 4 3. ","")&amp;IF(AND(B5&gt;0,B5&lt;100),"
- Pour obtenir le résultat de 94 * 11, on espace le '9' et le '4' et on y glisse l'addition des 2. ","")&amp;IF(AND(B5&gt;0,B5&lt;100),"
ATTENTION, on répercute la dizaine sur le chiffre de devant.
On obtient donc :    9   ( 9 + 4 )   4    =&gt;       9   ( 13 )   4    =&gt;       9 +1   ( 3 )   4    =&gt;    soit    10 3 4.","")&amp;IF(AND(B5&gt;99,B5&lt;1000),"
Si on choisi les nombres : 123 &amp; 286
- Pour obtenir le résultat de 123 * 11, on espace le '1' du '2' et le '2' du '3'. ","")&amp;IF(AND(B5&gt;99,B5&lt;1000),"On glisse les sommes dans chaque espace. On supprime le chiffre 'sandwich' (ici le 2)
On obtient donc :    1   ( 1 + 2 )   2   ( 2 + 3 )   3   =&gt;    1   ( 3 )  ( 5 )   3   =&gt;   soit  1 3 5 3. ","")&amp;IF(AND(B5&gt;99,B5&lt;1000),"
- Pour obtenir le résultat de 286 * 11, on espace le '2' du '8' et le '8' du '6'. 
On glisse les sommes dans chaque espace. On supprime le chiffre 'sandwich' (ici le 8)","")&amp;IF(AND(B5&gt;99,B5&lt;1000),"
ATTENTION, on répercute la dizaine sur le chiffre de devant.
On obtient donc :    2   ( 2 + 8 )   8   ( 8 + 6 )   6   =&gt;    2   ( 10 )  ( 14 )   6   =&gt;   2+1   (0+1)  (4 )   6   =&gt;     soit  3 1 4 6. ","")))</f>
        <v/>
      </c>
      <c r="B6" s="755"/>
      <c r="C6" s="755"/>
      <c r="D6" s="755"/>
      <c r="E6" s="755"/>
      <c r="F6" s="755"/>
      <c r="G6" s="212"/>
    </row>
    <row r="7" spans="1:7">
      <c r="A7" s="753"/>
      <c r="B7" s="753"/>
      <c r="C7" s="753"/>
      <c r="D7" s="753"/>
      <c r="E7" s="753"/>
      <c r="F7" s="753"/>
      <c r="G7" s="212"/>
    </row>
    <row r="8" spans="1:7">
      <c r="B8" s="45" t="s">
        <v>123</v>
      </c>
      <c r="C8" s="45" t="s">
        <v>131</v>
      </c>
      <c r="D8" s="45" t="s">
        <v>130</v>
      </c>
      <c r="E8" s="45" t="s">
        <v>121</v>
      </c>
      <c r="G8" s="212"/>
    </row>
    <row r="9" spans="1:7">
      <c r="A9" s="44" t="s">
        <v>129</v>
      </c>
      <c r="B9" s="42" t="str">
        <f>IF(OR($B$5="",B5=0),"",ROUNDDOWN($B$5/1000,0))</f>
        <v/>
      </c>
      <c r="C9" s="42" t="str">
        <f>IF(OR($B$5="",B5=0),"",ROUNDDOWN(($B$5-B9*1000)/100,0))</f>
        <v/>
      </c>
      <c r="D9" s="42" t="str">
        <f>IF(OR($B$5="",B5=0),"",ROUNDDOWN(($B$5-B9*1000-C9*100)/10,0))</f>
        <v/>
      </c>
      <c r="E9" s="42" t="str">
        <f>IF(OR($B$5="",B5=0),"",ROUNDDOWN(($B$5-B9*1000-C9*100-D9*10),0))</f>
        <v/>
      </c>
      <c r="G9" s="212"/>
    </row>
    <row r="10" spans="1:7">
      <c r="G10" s="212"/>
    </row>
    <row r="11" spans="1:7">
      <c r="A11" s="750" t="s">
        <v>128</v>
      </c>
      <c r="B11" s="42" t="str">
        <f>B9&amp;" + "&amp;C9</f>
        <v xml:space="preserve"> + </v>
      </c>
      <c r="C11" s="42" t="str">
        <f>C9&amp;" + "&amp;D9</f>
        <v xml:space="preserve"> + </v>
      </c>
      <c r="D11" s="42" t="str">
        <f>D9&amp;" + "&amp;E9</f>
        <v xml:space="preserve"> + </v>
      </c>
      <c r="E11" s="42" t="str">
        <f>E9</f>
        <v/>
      </c>
      <c r="G11" s="212"/>
    </row>
    <row r="12" spans="1:7">
      <c r="A12" s="750"/>
      <c r="B12" s="42" t="e">
        <f>B9+C9</f>
        <v>#VALUE!</v>
      </c>
      <c r="C12" s="42" t="e">
        <f>C9+D9</f>
        <v>#VALUE!</v>
      </c>
      <c r="D12" s="42" t="e">
        <f>D9+E9</f>
        <v>#VALUE!</v>
      </c>
      <c r="E12" s="42" t="str">
        <f>E9</f>
        <v/>
      </c>
      <c r="G12" s="212"/>
    </row>
    <row r="13" spans="1:7">
      <c r="A13" s="43" t="e">
        <f>IF((B12&amp;C12&amp;D12&amp;E12)=(B13&amp;C13&amp;D13&amp;E13)," &gt; Il n'y a pas de dizaines à décaler","&gt; On décale les 'dizianes' des résultats précédemment obtenus")</f>
        <v>#VALUE!</v>
      </c>
      <c r="B13" s="42" t="e">
        <f>B12&amp;IF(ROUNDDOWN(C12/10,0)&lt;&gt;0," + "&amp;ROUNDDOWN(C12/10,0),"")</f>
        <v>#VALUE!</v>
      </c>
      <c r="C13" s="42" t="e">
        <f>C12-ROUNDDOWN(C12/10,0)*10&amp;IF(ROUNDDOWN(D12/10,0)&lt;&gt;0," + "&amp;ROUNDDOWN(D12/10,0),"")</f>
        <v>#VALUE!</v>
      </c>
      <c r="D13" s="42" t="e">
        <f>D12-ROUNDDOWN(D12/10,0)*10&amp;IF(ROUNDDOWN(E12/10,0)&lt;&gt;0," + "&amp;ROUNDDOWN(E12/10,0),"")</f>
        <v>#VALUE!</v>
      </c>
      <c r="E13" s="42" t="str">
        <f>E12</f>
        <v/>
      </c>
      <c r="G13" s="212"/>
    </row>
    <row r="14" spans="1:7">
      <c r="A14" s="43" t="s">
        <v>127</v>
      </c>
      <c r="B14" s="42" t="e">
        <f>B12+ROUNDDOWN(C12/10,0)</f>
        <v>#VALUE!</v>
      </c>
      <c r="C14" s="42" t="e">
        <f>C12-ROUNDDOWN(C12/10,0)*10+ROUNDDOWN(D12/10,0)</f>
        <v>#VALUE!</v>
      </c>
      <c r="D14" s="42" t="e">
        <f>D12-ROUNDDOWN(D12/10,0)*10+ROUNDDOWN(E12/10,0)</f>
        <v>#VALUE!</v>
      </c>
      <c r="E14" s="42" t="str">
        <f>E13</f>
        <v/>
      </c>
      <c r="G14" s="212"/>
    </row>
    <row r="15" spans="1:7">
      <c r="G15" s="212"/>
    </row>
    <row r="16" spans="1:7">
      <c r="G16" s="212"/>
    </row>
    <row r="17" spans="1:7" ht="15.75">
      <c r="A17" s="41" t="str">
        <f>IF(A6="Le programme est limité aux mille premiers nombres.",""," Et voici le résultat obtenu pour : "&amp;B5&amp;" x 11")</f>
        <v xml:space="preserve"> Et voici le résultat obtenu pour :  x 11</v>
      </c>
      <c r="B17" s="749" t="e">
        <f>IF(A17="","",IF(B14=0,"",B14)&amp;" "&amp;IF(AND(B14=0,C14=0),"",C14)&amp;IF(AND(B14=0,C14=0,D14=0),"",D14)&amp;IF(AND(B14=0,C14=0,D14=0,E14=0),"",E14))</f>
        <v>#VALUE!</v>
      </c>
      <c r="C17" s="749"/>
      <c r="D17" s="749"/>
      <c r="E17" s="749"/>
      <c r="F17" s="58"/>
      <c r="G17" s="58"/>
    </row>
    <row r="18" spans="1:7" ht="7.5" customHeight="1">
      <c r="A18" s="748"/>
      <c r="B18" s="748"/>
      <c r="C18" s="748"/>
      <c r="D18" s="748"/>
      <c r="E18" s="748"/>
      <c r="F18" s="748"/>
      <c r="G18" s="748"/>
    </row>
    <row r="19" spans="1:7" ht="15.75" hidden="1" customHeight="1">
      <c r="A19" s="22"/>
      <c r="B19" s="22"/>
      <c r="C19" s="22"/>
      <c r="D19" s="22"/>
      <c r="E19" s="22"/>
    </row>
  </sheetData>
  <sheetProtection password="8B0A" sheet="1" objects="1" scenarios="1"/>
  <mergeCells count="8">
    <mergeCell ref="A18:G18"/>
    <mergeCell ref="B17:E17"/>
    <mergeCell ref="A11:A12"/>
    <mergeCell ref="A1:F1"/>
    <mergeCell ref="A3:F3"/>
    <mergeCell ref="A7:F7"/>
    <mergeCell ref="A6:F6"/>
    <mergeCell ref="C5:F5"/>
  </mergeCells>
  <conditionalFormatting sqref="A6:F6">
    <cfRule type="expression" dxfId="293" priority="2">
      <formula>$A$6="Le programme est limité aux mille premiers nombres."</formula>
    </cfRule>
  </conditionalFormatting>
  <conditionalFormatting sqref="A8:G17">
    <cfRule type="expression" dxfId="292" priority="1">
      <formula>$B$5=""</formula>
    </cfRule>
  </conditionalFormatting>
  <dataValidations count="1">
    <dataValidation type="list" allowBlank="1" showInputMessage="1" showErrorMessage="1" sqref="B2">
      <formula1>"oui,non"</formula1>
    </dataValidation>
  </dataValidations>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sheetPr codeName="Feuil9">
    <pageSetUpPr fitToPage="1"/>
  </sheetPr>
  <dimension ref="A1:N1050"/>
  <sheetViews>
    <sheetView showGridLines="0" showRowColHeaders="0" workbookViewId="0">
      <selection activeCell="I26" sqref="I26"/>
    </sheetView>
  </sheetViews>
  <sheetFormatPr baseColWidth="10" defaultColWidth="0" defaultRowHeight="15" zeroHeight="1"/>
  <cols>
    <col min="1" max="1" width="11.42578125" style="21" customWidth="1"/>
    <col min="2" max="2" width="8.85546875" style="21" customWidth="1"/>
    <col min="3" max="3" width="8" style="21" customWidth="1"/>
    <col min="4" max="4" width="6.7109375" style="21" customWidth="1"/>
    <col min="5" max="5" width="11.42578125" style="21" customWidth="1"/>
    <col min="6" max="8" width="11.7109375" style="21" customWidth="1"/>
    <col min="9" max="11" width="11.42578125" style="21" customWidth="1"/>
    <col min="12" max="12" width="13.42578125" style="21" customWidth="1"/>
    <col min="13" max="13" width="11.42578125" style="21" customWidth="1"/>
    <col min="14" max="14" width="3.7109375" style="21" customWidth="1"/>
    <col min="15" max="16384" width="11.42578125" style="21" hidden="1"/>
  </cols>
  <sheetData>
    <row r="1" spans="1:14" ht="28.5" customHeight="1" thickBot="1">
      <c r="A1" s="758" t="s">
        <v>459</v>
      </c>
      <c r="B1" s="759"/>
      <c r="C1" s="759"/>
      <c r="D1" s="759"/>
      <c r="E1" s="759"/>
      <c r="F1" s="759"/>
      <c r="G1" s="759"/>
      <c r="H1" s="759"/>
      <c r="I1" s="759"/>
      <c r="J1" s="759"/>
      <c r="K1" s="759"/>
      <c r="L1" s="759"/>
      <c r="M1" s="759"/>
      <c r="N1" s="760"/>
    </row>
    <row r="2" spans="1:14" s="38" customFormat="1" ht="19.5" thickBot="1">
      <c r="A2" s="795" t="str">
        <f>IF(H15="","Choississez un nombre entre 0 et 99. Le mettre au cube et inscrire le résultat en face de la flèche rouge.","")</f>
        <v>Choississez un nombre entre 0 et 99. Le mettre au cube et inscrire le résultat en face de la flèche rouge.</v>
      </c>
      <c r="B2" s="796"/>
      <c r="C2" s="796"/>
      <c r="D2" s="796"/>
      <c r="E2" s="796"/>
      <c r="F2" s="796"/>
      <c r="G2" s="796"/>
      <c r="H2" s="796"/>
      <c r="I2" s="796"/>
      <c r="J2" s="796"/>
      <c r="K2" s="796"/>
      <c r="L2" s="796"/>
      <c r="M2" s="796"/>
      <c r="N2" s="797"/>
    </row>
    <row r="3" spans="1:14" s="71" customFormat="1" ht="16.5" thickBot="1">
      <c r="A3" s="798"/>
      <c r="B3" s="793"/>
      <c r="C3" s="793"/>
      <c r="D3" s="793"/>
      <c r="E3" s="518"/>
      <c r="F3" s="72" t="s">
        <v>123</v>
      </c>
      <c r="G3" s="72" t="s">
        <v>122</v>
      </c>
      <c r="H3" s="72" t="s">
        <v>121</v>
      </c>
      <c r="I3" s="518"/>
      <c r="J3" s="518"/>
      <c r="K3" s="810"/>
      <c r="L3" s="763" t="s">
        <v>297</v>
      </c>
      <c r="M3" s="764"/>
      <c r="N3" s="809"/>
    </row>
    <row r="4" spans="1:14" s="71" customFormat="1" ht="15.75" thickBot="1">
      <c r="A4" s="798"/>
      <c r="B4" s="123" t="s">
        <v>155</v>
      </c>
      <c r="C4" s="124" t="s">
        <v>120</v>
      </c>
      <c r="D4" s="125" t="s">
        <v>109</v>
      </c>
      <c r="E4" s="518"/>
      <c r="F4" s="135" t="s">
        <v>119</v>
      </c>
      <c r="G4" s="136" t="s">
        <v>118</v>
      </c>
      <c r="H4" s="137" t="s">
        <v>97</v>
      </c>
      <c r="I4" s="518"/>
      <c r="J4" s="518"/>
      <c r="K4" s="810"/>
      <c r="L4" s="75" t="s">
        <v>116</v>
      </c>
      <c r="M4" s="39"/>
      <c r="N4" s="809"/>
    </row>
    <row r="5" spans="1:14" s="71" customFormat="1" ht="15.75" thickBot="1">
      <c r="A5" s="798"/>
      <c r="B5" s="126"/>
      <c r="C5" s="127"/>
      <c r="D5" s="128"/>
      <c r="E5" s="518"/>
      <c r="F5" s="239" t="s">
        <v>289</v>
      </c>
      <c r="G5" s="239" t="s">
        <v>290</v>
      </c>
      <c r="H5" s="239" t="s">
        <v>289</v>
      </c>
      <c r="I5" s="518"/>
      <c r="J5" s="518"/>
      <c r="K5" s="810"/>
      <c r="L5" s="76" t="str">
        <f>IF(M5="","Calculer","Résultat :")</f>
        <v>Calculer</v>
      </c>
      <c r="M5" s="238"/>
      <c r="N5" s="809"/>
    </row>
    <row r="6" spans="1:14" s="71" customFormat="1" ht="15.75" customHeight="1">
      <c r="A6" s="798"/>
      <c r="B6" s="129">
        <v>0</v>
      </c>
      <c r="C6" s="130">
        <v>0</v>
      </c>
      <c r="D6" s="131">
        <v>0</v>
      </c>
      <c r="E6" s="518"/>
      <c r="F6" s="239" t="s">
        <v>289</v>
      </c>
      <c r="G6" s="804" t="s">
        <v>117</v>
      </c>
      <c r="H6" s="239" t="s">
        <v>289</v>
      </c>
      <c r="I6" s="518"/>
      <c r="J6" s="800"/>
      <c r="K6" s="800"/>
      <c r="L6" s="800"/>
      <c r="M6" s="800"/>
      <c r="N6" s="801"/>
    </row>
    <row r="7" spans="1:14" s="71" customFormat="1" ht="15.75" thickBot="1">
      <c r="A7" s="798"/>
      <c r="B7" s="129">
        <v>1</v>
      </c>
      <c r="C7" s="130">
        <v>1</v>
      </c>
      <c r="D7" s="131">
        <v>1</v>
      </c>
      <c r="E7" s="518"/>
      <c r="F7" s="239" t="s">
        <v>289</v>
      </c>
      <c r="G7" s="805"/>
      <c r="H7" s="239" t="s">
        <v>289</v>
      </c>
      <c r="I7" s="518"/>
      <c r="J7" s="800"/>
      <c r="K7" s="800"/>
      <c r="L7" s="800"/>
      <c r="M7" s="800"/>
      <c r="N7" s="801"/>
    </row>
    <row r="8" spans="1:14" s="71" customFormat="1" ht="15.75" thickBot="1">
      <c r="A8" s="798"/>
      <c r="B8" s="129">
        <v>2</v>
      </c>
      <c r="C8" s="130">
        <v>4</v>
      </c>
      <c r="D8" s="131">
        <v>8</v>
      </c>
      <c r="E8" s="518"/>
      <c r="F8" s="239" t="s">
        <v>290</v>
      </c>
      <c r="H8" s="239" t="s">
        <v>290</v>
      </c>
      <c r="I8" s="518"/>
      <c r="J8" s="800"/>
      <c r="K8" s="800"/>
      <c r="L8" s="800"/>
      <c r="M8" s="800"/>
      <c r="N8" s="801"/>
    </row>
    <row r="9" spans="1:14" s="71" customFormat="1" ht="15.75" customHeight="1">
      <c r="A9" s="798"/>
      <c r="B9" s="129">
        <v>3</v>
      </c>
      <c r="C9" s="130">
        <v>9</v>
      </c>
      <c r="D9" s="131">
        <v>27</v>
      </c>
      <c r="E9" s="518"/>
      <c r="F9" s="772" t="s">
        <v>287</v>
      </c>
      <c r="G9" s="773"/>
      <c r="H9" s="766" t="s">
        <v>288</v>
      </c>
      <c r="I9" s="767"/>
      <c r="J9" s="800"/>
      <c r="K9" s="800"/>
      <c r="L9" s="800"/>
      <c r="M9" s="800"/>
      <c r="N9" s="801"/>
    </row>
    <row r="10" spans="1:14" s="71" customFormat="1">
      <c r="A10" s="798"/>
      <c r="B10" s="129">
        <v>4</v>
      </c>
      <c r="C10" s="130">
        <v>16</v>
      </c>
      <c r="D10" s="131">
        <v>64</v>
      </c>
      <c r="E10" s="518"/>
      <c r="F10" s="774"/>
      <c r="G10" s="775"/>
      <c r="H10" s="768"/>
      <c r="I10" s="769"/>
      <c r="J10" s="800"/>
      <c r="K10" s="800"/>
      <c r="L10" s="800"/>
      <c r="M10" s="800"/>
      <c r="N10" s="801"/>
    </row>
    <row r="11" spans="1:14" s="71" customFormat="1" ht="15.75" thickBot="1">
      <c r="A11" s="798"/>
      <c r="B11" s="129">
        <v>5</v>
      </c>
      <c r="C11" s="130">
        <v>25</v>
      </c>
      <c r="D11" s="131">
        <v>125</v>
      </c>
      <c r="E11" s="518"/>
      <c r="F11" s="776"/>
      <c r="G11" s="777"/>
      <c r="H11" s="770"/>
      <c r="I11" s="771"/>
      <c r="J11" s="800"/>
      <c r="K11" s="800"/>
      <c r="L11" s="800"/>
      <c r="M11" s="800"/>
      <c r="N11" s="801"/>
    </row>
    <row r="12" spans="1:14" s="71" customFormat="1">
      <c r="A12" s="798"/>
      <c r="B12" s="129">
        <v>6</v>
      </c>
      <c r="C12" s="130">
        <v>36</v>
      </c>
      <c r="D12" s="131">
        <v>216</v>
      </c>
      <c r="E12" s="518"/>
      <c r="F12" s="410" t="s">
        <v>290</v>
      </c>
      <c r="G12" s="411" t="s">
        <v>301</v>
      </c>
      <c r="H12" s="410" t="s">
        <v>290</v>
      </c>
      <c r="I12" s="411" t="s">
        <v>302</v>
      </c>
      <c r="J12" s="800"/>
      <c r="K12" s="800"/>
      <c r="L12" s="800"/>
      <c r="M12" s="800"/>
      <c r="N12" s="801"/>
    </row>
    <row r="13" spans="1:14" s="71" customFormat="1" ht="15" customHeight="1">
      <c r="A13" s="798"/>
      <c r="B13" s="129">
        <v>7</v>
      </c>
      <c r="C13" s="130">
        <v>49</v>
      </c>
      <c r="D13" s="131">
        <v>343</v>
      </c>
      <c r="E13" s="518"/>
      <c r="F13" s="808" t="s">
        <v>300</v>
      </c>
      <c r="G13" s="808"/>
      <c r="H13" s="808"/>
      <c r="I13" s="808"/>
      <c r="J13" s="800"/>
      <c r="K13" s="800"/>
      <c r="L13" s="800"/>
      <c r="M13" s="800"/>
      <c r="N13" s="801"/>
    </row>
    <row r="14" spans="1:14" s="71" customFormat="1" ht="16.5" customHeight="1" thickBot="1">
      <c r="A14" s="798"/>
      <c r="B14" s="129">
        <v>8</v>
      </c>
      <c r="C14" s="130">
        <v>64</v>
      </c>
      <c r="D14" s="131">
        <v>512</v>
      </c>
      <c r="E14" s="518"/>
      <c r="F14" s="799"/>
      <c r="G14" s="799"/>
      <c r="H14" s="799"/>
      <c r="I14" s="261" t="str">
        <f>IF(I15="","","SOIT")</f>
        <v/>
      </c>
      <c r="J14" s="800"/>
      <c r="K14" s="800"/>
      <c r="L14" s="800"/>
      <c r="M14" s="800"/>
      <c r="N14" s="801"/>
    </row>
    <row r="15" spans="1:14" s="71" customFormat="1" ht="21" customHeight="1" thickTop="1" thickBot="1">
      <c r="A15" s="798"/>
      <c r="B15" s="132">
        <v>9</v>
      </c>
      <c r="C15" s="133">
        <v>81</v>
      </c>
      <c r="D15" s="134">
        <v>729</v>
      </c>
      <c r="E15" s="518"/>
      <c r="F15" s="244"/>
      <c r="G15" s="246"/>
      <c r="H15" s="245"/>
      <c r="I15" s="262" t="str">
        <f>IF(AND(ISNUMBER(F15),ISNUMBER(G15),ISNUMBER(H15)),IF(H15="","",IF(G15=0,F15&amp;" "&amp;"00"&amp;H15,IF(G15&lt;10,F15&amp;" "&amp;"0"&amp;G15&amp;H15,F15&amp;" "&amp;G15&amp;H15))),"")</f>
        <v/>
      </c>
      <c r="J15" s="800"/>
      <c r="K15" s="412" t="str">
        <f>IF(F15="","",F15)</f>
        <v/>
      </c>
      <c r="L15" s="412" t="str">
        <f>IF(G15="","",G15)</f>
        <v/>
      </c>
      <c r="M15" s="413" t="str">
        <f>IF(H15="","",H15)</f>
        <v/>
      </c>
      <c r="N15" s="801"/>
    </row>
    <row r="16" spans="1:14" s="71" customFormat="1" ht="15.75" thickBot="1">
      <c r="A16" s="798"/>
      <c r="B16" s="806"/>
      <c r="C16" s="806"/>
      <c r="D16" s="806"/>
      <c r="E16" s="518"/>
      <c r="F16" s="793"/>
      <c r="G16" s="793"/>
      <c r="H16" s="793"/>
      <c r="I16" s="78" t="str">
        <f>IF(AND(I15&lt;&gt;"",A29=""),"on retient","")</f>
        <v/>
      </c>
      <c r="J16" s="800"/>
      <c r="K16" s="258" t="str">
        <f>IF(M15="","",IF(L15=0,K15&amp;" "&amp;"00"&amp;M15,IF(L15&lt;10,K15&amp;" "&amp;"0"&amp;L15&amp;M15,K15&amp;" "&amp;L15&amp;M15)))</f>
        <v/>
      </c>
      <c r="L16" s="800"/>
      <c r="M16" s="801"/>
      <c r="N16" s="801"/>
    </row>
    <row r="17" spans="1:14" s="71" customFormat="1" ht="15" customHeight="1">
      <c r="A17" s="798"/>
      <c r="B17" s="518"/>
      <c r="C17" s="518"/>
      <c r="D17" s="518"/>
      <c r="E17" s="518"/>
      <c r="F17" s="780" t="str">
        <f>IF(OR(I15="#Erreur#",I15="",H15=""),"",IF(F15="","Votre nbr³ est un chiffre, se reporter directement dans la colonne x³.",F15&amp;" (les milliers) se trouve entre "&amp;VLOOKUP(F15,A46:C1046,2)&amp;" et "&amp;VLOOKUP(F15,A46:C1046,3)&amp;" (seuil/plafond) dans la colonne x³"))</f>
        <v/>
      </c>
      <c r="G17" s="781"/>
      <c r="H17" s="781"/>
      <c r="I17" s="784" t="str">
        <f>IF(I15="","",IF(OR(F17="",F17="Votre nbr³ est un chiffre, se reporter directement dans la colonne x³."),0,VLOOKUP(F15,A46:C1046,2)))</f>
        <v/>
      </c>
      <c r="J17" s="800"/>
      <c r="K17" s="259" t="str">
        <f>IF(I26="","",I26*I26*I26)</f>
        <v/>
      </c>
      <c r="L17" s="800"/>
      <c r="M17" s="801"/>
      <c r="N17" s="801"/>
    </row>
    <row r="18" spans="1:14" s="71" customFormat="1" ht="15.75" thickBot="1">
      <c r="A18" s="798"/>
      <c r="B18" s="518"/>
      <c r="C18" s="518"/>
      <c r="D18" s="518"/>
      <c r="E18" s="518"/>
      <c r="F18" s="782"/>
      <c r="G18" s="783"/>
      <c r="H18" s="783"/>
      <c r="I18" s="785"/>
      <c r="J18" s="800"/>
      <c r="K18" s="260" t="str">
        <f>IF(OR(K16="",K17=""),"",K16-K17)</f>
        <v/>
      </c>
      <c r="L18" s="800"/>
      <c r="M18" s="801"/>
      <c r="N18" s="801"/>
    </row>
    <row r="19" spans="1:14" s="71" customFormat="1" ht="15.75" thickBot="1">
      <c r="A19" s="798"/>
      <c r="B19" s="807"/>
      <c r="C19" s="807"/>
      <c r="D19" s="807"/>
      <c r="E19" s="518"/>
      <c r="F19" s="231" t="str">
        <f>IF(I17="","",I17)</f>
        <v/>
      </c>
      <c r="G19" s="791" t="str">
        <f>IF(F19="","","est le cube de ")</f>
        <v/>
      </c>
      <c r="H19" s="792"/>
      <c r="I19" s="232" t="str">
        <f>IF(F19="","",VLOOKUP(F19,B32:C43,2))</f>
        <v/>
      </c>
      <c r="J19" s="800"/>
      <c r="K19" s="414" t="str">
        <f>IF(K16="","",IF(K18&lt;&gt;0,"#Erreur#",""))</f>
        <v/>
      </c>
      <c r="L19" s="802"/>
      <c r="M19" s="803"/>
      <c r="N19" s="801"/>
    </row>
    <row r="20" spans="1:14" s="71" customFormat="1" ht="15.75" thickBot="1">
      <c r="A20" s="79" t="s">
        <v>156</v>
      </c>
      <c r="B20" s="138">
        <v>12</v>
      </c>
      <c r="C20" s="139">
        <v>16</v>
      </c>
      <c r="D20" s="140">
        <v>7</v>
      </c>
      <c r="E20" s="518"/>
      <c r="F20" s="794"/>
      <c r="G20" s="794"/>
      <c r="H20" s="794"/>
      <c r="I20" s="80"/>
      <c r="J20" s="800"/>
      <c r="K20" s="800"/>
      <c r="L20" s="800"/>
      <c r="M20" s="800"/>
      <c r="N20" s="801"/>
    </row>
    <row r="21" spans="1:14" s="71" customFormat="1">
      <c r="A21" s="798"/>
      <c r="B21" s="518"/>
      <c r="C21" s="518"/>
      <c r="D21" s="518"/>
      <c r="E21" s="518"/>
      <c r="F21" s="766" t="str">
        <f>IF(OR(I15="#Erreur#",I15="",H15=""),"",IF(H15="","",H15&amp;" (l'unité) est l'unité de "&amp;VLOOKUP(H15,A46:D56,4)&amp;" (nbr³) dans la colonne x³"))</f>
        <v/>
      </c>
      <c r="G21" s="786"/>
      <c r="H21" s="786"/>
      <c r="I21" s="789" t="str">
        <f>IF(F21="","",VLOOKUP(H15,A46:D56,4))</f>
        <v/>
      </c>
      <c r="J21" s="800"/>
      <c r="K21" s="800"/>
      <c r="L21" s="800"/>
      <c r="M21" s="800"/>
      <c r="N21" s="801"/>
    </row>
    <row r="22" spans="1:14" s="71" customFormat="1" ht="15.75" thickBot="1">
      <c r="A22" s="81" t="s">
        <v>109</v>
      </c>
      <c r="B22" s="82">
        <v>8</v>
      </c>
      <c r="D22" s="82">
        <v>27</v>
      </c>
      <c r="E22" s="518"/>
      <c r="F22" s="787"/>
      <c r="G22" s="788"/>
      <c r="H22" s="788"/>
      <c r="I22" s="790"/>
      <c r="J22" s="800"/>
      <c r="K22" s="800"/>
      <c r="L22" s="800"/>
      <c r="M22" s="800"/>
      <c r="N22" s="801"/>
    </row>
    <row r="23" spans="1:14" s="71" customFormat="1" ht="15.75" customHeight="1" thickBot="1">
      <c r="A23" s="811"/>
      <c r="B23" s="812"/>
      <c r="C23" s="812"/>
      <c r="D23" s="812"/>
      <c r="E23" s="518"/>
      <c r="F23" s="233" t="str">
        <f>IF(I21="","",I21)</f>
        <v/>
      </c>
      <c r="G23" s="778" t="str">
        <f>IF(F23="","","est le cube de ")</f>
        <v/>
      </c>
      <c r="H23" s="779"/>
      <c r="I23" s="234" t="str">
        <f>IF(F23="","",VLOOKUP(F23,B32:C43,2))</f>
        <v/>
      </c>
      <c r="J23" s="800"/>
      <c r="K23" s="800"/>
      <c r="L23" s="800"/>
      <c r="M23" s="800"/>
      <c r="N23" s="801"/>
    </row>
    <row r="24" spans="1:14" s="71" customFormat="1" ht="15.75" customHeight="1" thickBot="1">
      <c r="A24" s="811"/>
      <c r="B24" s="812"/>
      <c r="C24" s="812"/>
      <c r="D24" s="812"/>
      <c r="E24" s="518"/>
      <c r="F24" s="765"/>
      <c r="G24" s="765"/>
      <c r="H24" s="765"/>
      <c r="I24" s="83"/>
      <c r="J24" s="800"/>
      <c r="K24" s="800"/>
      <c r="L24" s="800"/>
      <c r="M24" s="800"/>
      <c r="N24" s="801"/>
    </row>
    <row r="25" spans="1:14" s="71" customFormat="1" ht="15.75" hidden="1" customHeight="1" thickBot="1">
      <c r="A25" s="75"/>
      <c r="E25" s="518"/>
      <c r="F25" s="84"/>
      <c r="G25" s="84" t="str">
        <f>IF(I25="","",I25/H25)</f>
        <v/>
      </c>
      <c r="H25" s="84" t="str">
        <f>F15&amp;G15&amp;H15</f>
        <v/>
      </c>
      <c r="I25" s="77" t="str">
        <f>IF(I26="","",I26*I26*I26)</f>
        <v/>
      </c>
      <c r="J25" s="800"/>
      <c r="K25" s="800"/>
      <c r="L25" s="800"/>
      <c r="M25" s="800"/>
      <c r="N25" s="801"/>
    </row>
    <row r="26" spans="1:14" s="71" customFormat="1" ht="16.5" thickBot="1">
      <c r="A26" s="81" t="s">
        <v>115</v>
      </c>
      <c r="B26" s="82">
        <v>2</v>
      </c>
      <c r="D26" s="82">
        <v>3</v>
      </c>
      <c r="E26" s="518"/>
      <c r="F26" s="761" t="str">
        <f>IF(I26="","",IF(AND(I26&gt;=1,I26&lt;=9),"Au final, le chiffre mis au cube est:","Au final, le nombre mis au cube est:"))</f>
        <v/>
      </c>
      <c r="G26" s="762"/>
      <c r="H26" s="762"/>
      <c r="I26" s="85" t="str">
        <f>IF(I19=0,I23,I19&amp;I23)</f>
        <v/>
      </c>
      <c r="J26" s="800"/>
      <c r="K26" s="800"/>
      <c r="L26" s="800"/>
      <c r="M26" s="800"/>
      <c r="N26" s="801"/>
    </row>
    <row r="27" spans="1:14" s="71" customFormat="1" ht="15.75" thickBot="1">
      <c r="A27" s="798"/>
      <c r="B27" s="518"/>
      <c r="C27" s="86">
        <v>23</v>
      </c>
      <c r="D27" s="518"/>
      <c r="E27" s="518"/>
      <c r="F27" s="817" t="str">
        <f>IF(I15="","",IF(AND(I15&lt;&gt;"",A29=""),"Pour recommencer, appuyez 'ICI'.",""))</f>
        <v/>
      </c>
      <c r="G27" s="817"/>
      <c r="H27" s="817"/>
      <c r="I27" s="817"/>
      <c r="J27" s="800"/>
      <c r="K27" s="800"/>
      <c r="L27" s="800"/>
      <c r="M27" s="800"/>
      <c r="N27" s="801"/>
    </row>
    <row r="28" spans="1:14" s="24" customFormat="1" ht="15.75" thickBot="1">
      <c r="A28" s="813"/>
      <c r="B28" s="793"/>
      <c r="C28" s="71"/>
      <c r="D28" s="793"/>
      <c r="E28" s="793"/>
      <c r="F28" s="818"/>
      <c r="G28" s="818"/>
      <c r="H28" s="818"/>
      <c r="I28" s="818"/>
      <c r="J28" s="802"/>
      <c r="K28" s="802"/>
      <c r="L28" s="802"/>
      <c r="M28" s="802"/>
      <c r="N28" s="803"/>
    </row>
    <row r="29" spans="1:14" ht="16.5" hidden="1" thickBot="1">
      <c r="A29" s="814" t="str">
        <f>IF(M4&gt;99,"Merci de saisir un nombre entier compris entre 1 et 99.",IF(K19="#Erreur#","ATTENTION: Vous n'avez pas entré le résultat d'un nombre mis au cube (compris entre 0 et 99). Besoin d'aide ? Utilisez la calculette   ;-) ",""))</f>
        <v/>
      </c>
      <c r="B29" s="815"/>
      <c r="C29" s="815"/>
      <c r="D29" s="815"/>
      <c r="E29" s="815"/>
      <c r="F29" s="815"/>
      <c r="G29" s="815"/>
      <c r="H29" s="815"/>
      <c r="I29" s="815"/>
      <c r="J29" s="815"/>
      <c r="K29" s="815"/>
      <c r="L29" s="815"/>
      <c r="M29" s="815"/>
      <c r="N29" s="816"/>
    </row>
    <row r="30" spans="1:14" hidden="1">
      <c r="A30" s="87"/>
      <c r="B30" s="88"/>
    </row>
    <row r="31" spans="1:14" ht="15.75" hidden="1" thickBot="1">
      <c r="K31" s="71"/>
      <c r="L31" s="71"/>
    </row>
    <row r="32" spans="1:14" hidden="1">
      <c r="A32" s="89" t="s">
        <v>114</v>
      </c>
      <c r="B32" s="90" t="s">
        <v>109</v>
      </c>
      <c r="C32" s="91" t="s">
        <v>113</v>
      </c>
      <c r="F32" s="92"/>
      <c r="G32" s="93"/>
      <c r="H32" s="93"/>
      <c r="I32" s="94"/>
      <c r="K32" s="74"/>
      <c r="L32" s="74"/>
      <c r="M32" s="71"/>
    </row>
    <row r="33" spans="1:13" ht="15.75" hidden="1">
      <c r="A33" s="80"/>
      <c r="B33" s="80"/>
      <c r="C33" s="80"/>
      <c r="F33" s="95"/>
      <c r="G33" s="93"/>
      <c r="H33" s="93"/>
      <c r="I33" s="96"/>
      <c r="K33" s="74"/>
      <c r="L33" s="74"/>
      <c r="M33" s="71"/>
    </row>
    <row r="34" spans="1:13" hidden="1">
      <c r="A34" s="97">
        <v>0</v>
      </c>
      <c r="B34" s="98">
        <v>0</v>
      </c>
      <c r="C34" s="97">
        <v>0</v>
      </c>
      <c r="F34" s="99"/>
      <c r="G34" s="100"/>
      <c r="H34" s="101"/>
      <c r="I34" s="102"/>
      <c r="K34" s="74"/>
      <c r="L34" s="74"/>
      <c r="M34" s="71"/>
    </row>
    <row r="35" spans="1:13" hidden="1">
      <c r="A35" s="97">
        <v>1</v>
      </c>
      <c r="B35" s="98">
        <v>1</v>
      </c>
      <c r="C35" s="97">
        <v>1</v>
      </c>
      <c r="F35" s="93"/>
      <c r="G35" s="102"/>
      <c r="H35" s="102"/>
      <c r="I35" s="94"/>
      <c r="K35" s="71"/>
      <c r="L35" s="71"/>
      <c r="M35" s="71"/>
    </row>
    <row r="36" spans="1:13" ht="15" hidden="1" customHeight="1">
      <c r="A36" s="97">
        <v>8</v>
      </c>
      <c r="B36" s="98">
        <v>8</v>
      </c>
      <c r="C36" s="97">
        <v>2</v>
      </c>
      <c r="F36" s="103"/>
      <c r="G36" s="104"/>
      <c r="H36" s="104"/>
      <c r="I36" s="105"/>
      <c r="K36" s="71"/>
      <c r="L36" s="71"/>
      <c r="M36" s="71"/>
    </row>
    <row r="37" spans="1:13" hidden="1">
      <c r="A37" s="97">
        <v>7</v>
      </c>
      <c r="B37" s="98">
        <v>27</v>
      </c>
      <c r="C37" s="97">
        <v>3</v>
      </c>
      <c r="F37" s="104"/>
      <c r="G37" s="104"/>
      <c r="H37" s="104"/>
      <c r="I37" s="104"/>
      <c r="K37" s="71"/>
      <c r="L37" s="71"/>
      <c r="M37" s="71"/>
    </row>
    <row r="38" spans="1:13" ht="15.75" hidden="1" customHeight="1">
      <c r="A38" s="97">
        <v>4</v>
      </c>
      <c r="B38" s="98">
        <v>64</v>
      </c>
      <c r="C38" s="97">
        <v>4</v>
      </c>
      <c r="F38" s="106"/>
      <c r="G38" s="103"/>
      <c r="H38" s="103"/>
      <c r="I38" s="107"/>
      <c r="K38" s="71"/>
      <c r="L38" s="71"/>
      <c r="M38" s="71"/>
    </row>
    <row r="39" spans="1:13" hidden="1">
      <c r="A39" s="97">
        <v>5</v>
      </c>
      <c r="B39" s="98">
        <v>125</v>
      </c>
      <c r="C39" s="97">
        <v>5</v>
      </c>
      <c r="F39" s="93"/>
      <c r="G39" s="93"/>
      <c r="H39" s="93"/>
      <c r="I39" s="93"/>
      <c r="K39" s="71"/>
      <c r="L39" s="71"/>
      <c r="M39" s="71"/>
    </row>
    <row r="40" spans="1:13" ht="15" hidden="1" customHeight="1">
      <c r="A40" s="97">
        <v>6</v>
      </c>
      <c r="B40" s="98">
        <v>216</v>
      </c>
      <c r="C40" s="97">
        <v>6</v>
      </c>
      <c r="F40" s="103"/>
      <c r="G40" s="103"/>
      <c r="H40" s="103"/>
      <c r="I40" s="105"/>
      <c r="K40" s="71"/>
      <c r="L40" s="71"/>
      <c r="M40" s="71"/>
    </row>
    <row r="41" spans="1:13" hidden="1">
      <c r="A41" s="97">
        <v>3</v>
      </c>
      <c r="B41" s="98">
        <v>343</v>
      </c>
      <c r="C41" s="97">
        <v>7</v>
      </c>
      <c r="F41" s="103"/>
      <c r="G41" s="103"/>
      <c r="H41" s="103"/>
      <c r="I41" s="105"/>
      <c r="K41" s="71"/>
      <c r="L41" s="71"/>
      <c r="M41" s="71"/>
    </row>
    <row r="42" spans="1:13" ht="15.75" hidden="1" customHeight="1">
      <c r="A42" s="97">
        <v>2</v>
      </c>
      <c r="B42" s="98">
        <v>512</v>
      </c>
      <c r="C42" s="97">
        <v>8</v>
      </c>
      <c r="F42" s="106"/>
      <c r="G42" s="103"/>
      <c r="H42" s="103"/>
      <c r="I42" s="107"/>
      <c r="K42" s="71"/>
      <c r="L42" s="71"/>
      <c r="M42" s="71"/>
    </row>
    <row r="43" spans="1:13" ht="15.75" hidden="1" thickBot="1">
      <c r="A43" s="108">
        <v>9</v>
      </c>
      <c r="B43" s="109">
        <v>729</v>
      </c>
      <c r="C43" s="108">
        <v>9</v>
      </c>
      <c r="F43" s="110"/>
      <c r="G43" s="110"/>
      <c r="H43" s="110"/>
      <c r="I43" s="111"/>
    </row>
    <row r="44" spans="1:13" hidden="1">
      <c r="F44" s="93"/>
      <c r="G44" s="93"/>
      <c r="H44" s="93"/>
      <c r="I44" s="93"/>
    </row>
    <row r="45" spans="1:13" ht="16.5" hidden="1" thickBot="1">
      <c r="F45" s="112"/>
      <c r="G45" s="93"/>
      <c r="H45" s="93"/>
      <c r="I45" s="113"/>
    </row>
    <row r="46" spans="1:13" hidden="1">
      <c r="A46" s="114" t="s">
        <v>112</v>
      </c>
      <c r="B46" s="115" t="s">
        <v>111</v>
      </c>
      <c r="C46" s="116" t="s">
        <v>110</v>
      </c>
      <c r="D46" s="117" t="s">
        <v>109</v>
      </c>
      <c r="F46" s="118"/>
      <c r="G46" s="118"/>
      <c r="H46" s="118"/>
      <c r="I46" s="118"/>
    </row>
    <row r="47" spans="1:13" hidden="1">
      <c r="A47" s="119">
        <v>0</v>
      </c>
      <c r="B47" s="71">
        <v>0</v>
      </c>
      <c r="C47" s="73">
        <v>1</v>
      </c>
      <c r="D47" s="120">
        <v>0</v>
      </c>
      <c r="F47" s="118"/>
      <c r="G47" s="118"/>
      <c r="H47" s="118"/>
      <c r="I47" s="118"/>
    </row>
    <row r="48" spans="1:13" hidden="1">
      <c r="A48" s="119">
        <v>1</v>
      </c>
      <c r="B48" s="71">
        <v>1</v>
      </c>
      <c r="C48" s="73">
        <v>8</v>
      </c>
      <c r="D48" s="120">
        <v>1</v>
      </c>
    </row>
    <row r="49" spans="1:4" hidden="1">
      <c r="A49" s="119">
        <v>2</v>
      </c>
      <c r="B49" s="71">
        <v>1</v>
      </c>
      <c r="C49" s="73">
        <v>8</v>
      </c>
      <c r="D49" s="120">
        <v>512</v>
      </c>
    </row>
    <row r="50" spans="1:4" hidden="1">
      <c r="A50" s="119">
        <v>3</v>
      </c>
      <c r="B50" s="71">
        <v>1</v>
      </c>
      <c r="C50" s="73">
        <v>8</v>
      </c>
      <c r="D50" s="120">
        <v>343</v>
      </c>
    </row>
    <row r="51" spans="1:4" hidden="1">
      <c r="A51" s="119">
        <v>4</v>
      </c>
      <c r="B51" s="71">
        <v>1</v>
      </c>
      <c r="C51" s="73">
        <v>8</v>
      </c>
      <c r="D51" s="120">
        <v>64</v>
      </c>
    </row>
    <row r="52" spans="1:4" hidden="1">
      <c r="A52" s="119">
        <v>5</v>
      </c>
      <c r="B52" s="71">
        <v>1</v>
      </c>
      <c r="C52" s="73">
        <v>8</v>
      </c>
      <c r="D52" s="120">
        <v>125</v>
      </c>
    </row>
    <row r="53" spans="1:4" hidden="1">
      <c r="A53" s="119">
        <v>6</v>
      </c>
      <c r="B53" s="71">
        <v>1</v>
      </c>
      <c r="C53" s="73">
        <v>8</v>
      </c>
      <c r="D53" s="120">
        <v>216</v>
      </c>
    </row>
    <row r="54" spans="1:4" hidden="1">
      <c r="A54" s="119">
        <v>7</v>
      </c>
      <c r="B54" s="71">
        <v>1</v>
      </c>
      <c r="C54" s="73">
        <v>8</v>
      </c>
      <c r="D54" s="120">
        <v>27</v>
      </c>
    </row>
    <row r="55" spans="1:4" hidden="1">
      <c r="A55" s="119">
        <v>8</v>
      </c>
      <c r="B55" s="71">
        <v>8</v>
      </c>
      <c r="C55" s="73">
        <v>27</v>
      </c>
      <c r="D55" s="120">
        <v>8</v>
      </c>
    </row>
    <row r="56" spans="1:4" ht="15.75" hidden="1" thickBot="1">
      <c r="A56" s="119">
        <v>9</v>
      </c>
      <c r="B56" s="71">
        <v>8</v>
      </c>
      <c r="C56" s="73">
        <v>27</v>
      </c>
      <c r="D56" s="121">
        <v>729</v>
      </c>
    </row>
    <row r="57" spans="1:4" hidden="1">
      <c r="A57" s="119">
        <v>10</v>
      </c>
      <c r="B57" s="71">
        <v>8</v>
      </c>
      <c r="C57" s="73">
        <v>27</v>
      </c>
    </row>
    <row r="58" spans="1:4" hidden="1">
      <c r="A58" s="119">
        <v>11</v>
      </c>
      <c r="B58" s="71">
        <v>8</v>
      </c>
      <c r="C58" s="73">
        <v>27</v>
      </c>
    </row>
    <row r="59" spans="1:4" hidden="1">
      <c r="A59" s="119">
        <v>12</v>
      </c>
      <c r="B59" s="71">
        <v>8</v>
      </c>
      <c r="C59" s="73">
        <v>27</v>
      </c>
    </row>
    <row r="60" spans="1:4" hidden="1">
      <c r="A60" s="119">
        <v>13</v>
      </c>
      <c r="B60" s="71">
        <v>8</v>
      </c>
      <c r="C60" s="73">
        <v>27</v>
      </c>
    </row>
    <row r="61" spans="1:4" hidden="1">
      <c r="A61" s="119">
        <v>14</v>
      </c>
      <c r="B61" s="71">
        <v>8</v>
      </c>
      <c r="C61" s="73">
        <v>27</v>
      </c>
    </row>
    <row r="62" spans="1:4" hidden="1">
      <c r="A62" s="119">
        <v>15</v>
      </c>
      <c r="B62" s="71">
        <v>8</v>
      </c>
      <c r="C62" s="73">
        <v>27</v>
      </c>
    </row>
    <row r="63" spans="1:4" hidden="1">
      <c r="A63" s="119">
        <v>16</v>
      </c>
      <c r="B63" s="71">
        <v>8</v>
      </c>
      <c r="C63" s="73">
        <v>27</v>
      </c>
    </row>
    <row r="64" spans="1:4" hidden="1">
      <c r="A64" s="119">
        <v>17</v>
      </c>
      <c r="B64" s="71">
        <v>8</v>
      </c>
      <c r="C64" s="73">
        <v>27</v>
      </c>
    </row>
    <row r="65" spans="1:3" hidden="1">
      <c r="A65" s="119">
        <v>18</v>
      </c>
      <c r="B65" s="71">
        <v>8</v>
      </c>
      <c r="C65" s="73">
        <v>27</v>
      </c>
    </row>
    <row r="66" spans="1:3" hidden="1">
      <c r="A66" s="119">
        <v>19</v>
      </c>
      <c r="B66" s="71">
        <v>8</v>
      </c>
      <c r="C66" s="73">
        <v>27</v>
      </c>
    </row>
    <row r="67" spans="1:3" hidden="1">
      <c r="A67" s="119">
        <v>20</v>
      </c>
      <c r="B67" s="71">
        <v>8</v>
      </c>
      <c r="C67" s="73">
        <v>27</v>
      </c>
    </row>
    <row r="68" spans="1:3" hidden="1">
      <c r="A68" s="119">
        <v>21</v>
      </c>
      <c r="B68" s="71">
        <v>8</v>
      </c>
      <c r="C68" s="73">
        <v>27</v>
      </c>
    </row>
    <row r="69" spans="1:3" hidden="1">
      <c r="A69" s="119">
        <v>22</v>
      </c>
      <c r="B69" s="71">
        <v>8</v>
      </c>
      <c r="C69" s="73">
        <v>27</v>
      </c>
    </row>
    <row r="70" spans="1:3" hidden="1">
      <c r="A70" s="119">
        <v>23</v>
      </c>
      <c r="B70" s="71">
        <v>8</v>
      </c>
      <c r="C70" s="73">
        <v>27</v>
      </c>
    </row>
    <row r="71" spans="1:3" hidden="1">
      <c r="A71" s="119">
        <v>24</v>
      </c>
      <c r="B71" s="71">
        <v>8</v>
      </c>
      <c r="C71" s="73">
        <v>27</v>
      </c>
    </row>
    <row r="72" spans="1:3" hidden="1">
      <c r="A72" s="119">
        <v>25</v>
      </c>
      <c r="B72" s="71">
        <v>8</v>
      </c>
      <c r="C72" s="73">
        <v>27</v>
      </c>
    </row>
    <row r="73" spans="1:3" hidden="1">
      <c r="A73" s="119">
        <v>26</v>
      </c>
      <c r="B73" s="71">
        <v>8</v>
      </c>
      <c r="C73" s="73">
        <v>27</v>
      </c>
    </row>
    <row r="74" spans="1:3" hidden="1">
      <c r="A74" s="119">
        <v>27</v>
      </c>
      <c r="B74" s="71">
        <v>27</v>
      </c>
      <c r="C74" s="73">
        <v>64</v>
      </c>
    </row>
    <row r="75" spans="1:3" hidden="1">
      <c r="A75" s="119">
        <v>28</v>
      </c>
      <c r="B75" s="71">
        <v>27</v>
      </c>
      <c r="C75" s="73">
        <v>64</v>
      </c>
    </row>
    <row r="76" spans="1:3" hidden="1">
      <c r="A76" s="119">
        <v>29</v>
      </c>
      <c r="B76" s="71">
        <v>27</v>
      </c>
      <c r="C76" s="73">
        <v>64</v>
      </c>
    </row>
    <row r="77" spans="1:3" hidden="1">
      <c r="A77" s="119">
        <v>30</v>
      </c>
      <c r="B77" s="71">
        <v>27</v>
      </c>
      <c r="C77" s="73">
        <v>64</v>
      </c>
    </row>
    <row r="78" spans="1:3" hidden="1">
      <c r="A78" s="119">
        <v>31</v>
      </c>
      <c r="B78" s="71">
        <v>27</v>
      </c>
      <c r="C78" s="73">
        <v>64</v>
      </c>
    </row>
    <row r="79" spans="1:3" hidden="1">
      <c r="A79" s="119">
        <v>32</v>
      </c>
      <c r="B79" s="71">
        <v>27</v>
      </c>
      <c r="C79" s="73">
        <v>64</v>
      </c>
    </row>
    <row r="80" spans="1:3" hidden="1">
      <c r="A80" s="119">
        <v>33</v>
      </c>
      <c r="B80" s="71">
        <v>27</v>
      </c>
      <c r="C80" s="73">
        <v>64</v>
      </c>
    </row>
    <row r="81" spans="1:3" hidden="1">
      <c r="A81" s="119">
        <v>34</v>
      </c>
      <c r="B81" s="71">
        <v>27</v>
      </c>
      <c r="C81" s="73">
        <v>64</v>
      </c>
    </row>
    <row r="82" spans="1:3" hidden="1">
      <c r="A82" s="119">
        <v>35</v>
      </c>
      <c r="B82" s="71">
        <v>27</v>
      </c>
      <c r="C82" s="73">
        <v>64</v>
      </c>
    </row>
    <row r="83" spans="1:3" hidden="1">
      <c r="A83" s="119">
        <v>36</v>
      </c>
      <c r="B83" s="71">
        <v>27</v>
      </c>
      <c r="C83" s="73">
        <v>64</v>
      </c>
    </row>
    <row r="84" spans="1:3" hidden="1">
      <c r="A84" s="119">
        <v>37</v>
      </c>
      <c r="B84" s="71">
        <v>27</v>
      </c>
      <c r="C84" s="73">
        <v>64</v>
      </c>
    </row>
    <row r="85" spans="1:3" hidden="1">
      <c r="A85" s="119">
        <v>38</v>
      </c>
      <c r="B85" s="71">
        <v>27</v>
      </c>
      <c r="C85" s="73">
        <v>64</v>
      </c>
    </row>
    <row r="86" spans="1:3" hidden="1">
      <c r="A86" s="119">
        <v>39</v>
      </c>
      <c r="B86" s="71">
        <v>27</v>
      </c>
      <c r="C86" s="73">
        <v>64</v>
      </c>
    </row>
    <row r="87" spans="1:3" hidden="1">
      <c r="A87" s="119">
        <v>40</v>
      </c>
      <c r="B87" s="71">
        <v>27</v>
      </c>
      <c r="C87" s="73">
        <v>64</v>
      </c>
    </row>
    <row r="88" spans="1:3" hidden="1">
      <c r="A88" s="119">
        <v>41</v>
      </c>
      <c r="B88" s="71">
        <v>27</v>
      </c>
      <c r="C88" s="73">
        <v>64</v>
      </c>
    </row>
    <row r="89" spans="1:3" hidden="1">
      <c r="A89" s="119">
        <v>42</v>
      </c>
      <c r="B89" s="71">
        <v>27</v>
      </c>
      <c r="C89" s="73">
        <v>64</v>
      </c>
    </row>
    <row r="90" spans="1:3" hidden="1">
      <c r="A90" s="119">
        <v>43</v>
      </c>
      <c r="B90" s="71">
        <v>27</v>
      </c>
      <c r="C90" s="73">
        <v>64</v>
      </c>
    </row>
    <row r="91" spans="1:3" hidden="1">
      <c r="A91" s="119">
        <v>44</v>
      </c>
      <c r="B91" s="71">
        <v>27</v>
      </c>
      <c r="C91" s="73">
        <v>64</v>
      </c>
    </row>
    <row r="92" spans="1:3" hidden="1">
      <c r="A92" s="119">
        <v>45</v>
      </c>
      <c r="B92" s="71">
        <v>27</v>
      </c>
      <c r="C92" s="73">
        <v>64</v>
      </c>
    </row>
    <row r="93" spans="1:3" hidden="1">
      <c r="A93" s="119">
        <v>46</v>
      </c>
      <c r="B93" s="71">
        <v>27</v>
      </c>
      <c r="C93" s="73">
        <v>64</v>
      </c>
    </row>
    <row r="94" spans="1:3" hidden="1">
      <c r="A94" s="119">
        <v>47</v>
      </c>
      <c r="B94" s="71">
        <v>27</v>
      </c>
      <c r="C94" s="73">
        <v>64</v>
      </c>
    </row>
    <row r="95" spans="1:3" hidden="1">
      <c r="A95" s="119">
        <v>48</v>
      </c>
      <c r="B95" s="71">
        <v>27</v>
      </c>
      <c r="C95" s="73">
        <v>64</v>
      </c>
    </row>
    <row r="96" spans="1:3" hidden="1">
      <c r="A96" s="119">
        <v>49</v>
      </c>
      <c r="B96" s="71">
        <v>27</v>
      </c>
      <c r="C96" s="73">
        <v>64</v>
      </c>
    </row>
    <row r="97" spans="1:3" hidden="1">
      <c r="A97" s="119">
        <v>50</v>
      </c>
      <c r="B97" s="71">
        <v>27</v>
      </c>
      <c r="C97" s="73">
        <v>64</v>
      </c>
    </row>
    <row r="98" spans="1:3" hidden="1">
      <c r="A98" s="119">
        <v>51</v>
      </c>
      <c r="B98" s="71">
        <v>27</v>
      </c>
      <c r="C98" s="73">
        <v>64</v>
      </c>
    </row>
    <row r="99" spans="1:3" hidden="1">
      <c r="A99" s="119">
        <v>52</v>
      </c>
      <c r="B99" s="71">
        <v>27</v>
      </c>
      <c r="C99" s="73">
        <v>64</v>
      </c>
    </row>
    <row r="100" spans="1:3" hidden="1">
      <c r="A100" s="119">
        <v>53</v>
      </c>
      <c r="B100" s="71">
        <v>27</v>
      </c>
      <c r="C100" s="73">
        <v>64</v>
      </c>
    </row>
    <row r="101" spans="1:3" hidden="1">
      <c r="A101" s="119">
        <v>54</v>
      </c>
      <c r="B101" s="71">
        <v>27</v>
      </c>
      <c r="C101" s="73">
        <v>64</v>
      </c>
    </row>
    <row r="102" spans="1:3" hidden="1">
      <c r="A102" s="119">
        <v>55</v>
      </c>
      <c r="B102" s="71">
        <v>27</v>
      </c>
      <c r="C102" s="73">
        <v>64</v>
      </c>
    </row>
    <row r="103" spans="1:3" hidden="1">
      <c r="A103" s="119">
        <v>56</v>
      </c>
      <c r="B103" s="71">
        <v>27</v>
      </c>
      <c r="C103" s="73">
        <v>64</v>
      </c>
    </row>
    <row r="104" spans="1:3" hidden="1">
      <c r="A104" s="119">
        <v>57</v>
      </c>
      <c r="B104" s="71">
        <v>27</v>
      </c>
      <c r="C104" s="73">
        <v>64</v>
      </c>
    </row>
    <row r="105" spans="1:3" hidden="1">
      <c r="A105" s="119">
        <v>58</v>
      </c>
      <c r="B105" s="71">
        <v>27</v>
      </c>
      <c r="C105" s="73">
        <v>64</v>
      </c>
    </row>
    <row r="106" spans="1:3" hidden="1">
      <c r="A106" s="119">
        <v>59</v>
      </c>
      <c r="B106" s="71">
        <v>27</v>
      </c>
      <c r="C106" s="73">
        <v>64</v>
      </c>
    </row>
    <row r="107" spans="1:3" hidden="1">
      <c r="A107" s="119">
        <v>60</v>
      </c>
      <c r="B107" s="71">
        <v>27</v>
      </c>
      <c r="C107" s="73">
        <v>64</v>
      </c>
    </row>
    <row r="108" spans="1:3" hidden="1">
      <c r="A108" s="119">
        <v>61</v>
      </c>
      <c r="B108" s="71">
        <v>27</v>
      </c>
      <c r="C108" s="73">
        <v>64</v>
      </c>
    </row>
    <row r="109" spans="1:3" hidden="1">
      <c r="A109" s="119">
        <v>62</v>
      </c>
      <c r="B109" s="71">
        <v>27</v>
      </c>
      <c r="C109" s="73">
        <v>64</v>
      </c>
    </row>
    <row r="110" spans="1:3" hidden="1">
      <c r="A110" s="119">
        <v>63</v>
      </c>
      <c r="B110" s="71">
        <v>27</v>
      </c>
      <c r="C110" s="73">
        <v>64</v>
      </c>
    </row>
    <row r="111" spans="1:3" hidden="1">
      <c r="A111" s="119">
        <v>64</v>
      </c>
      <c r="B111" s="71">
        <v>64</v>
      </c>
      <c r="C111" s="73">
        <v>125</v>
      </c>
    </row>
    <row r="112" spans="1:3" hidden="1">
      <c r="A112" s="119">
        <v>65</v>
      </c>
      <c r="B112" s="71">
        <v>64</v>
      </c>
      <c r="C112" s="73">
        <v>125</v>
      </c>
    </row>
    <row r="113" spans="1:3" hidden="1">
      <c r="A113" s="119">
        <v>66</v>
      </c>
      <c r="B113" s="71">
        <v>64</v>
      </c>
      <c r="C113" s="73">
        <v>125</v>
      </c>
    </row>
    <row r="114" spans="1:3" hidden="1">
      <c r="A114" s="119">
        <v>67</v>
      </c>
      <c r="B114" s="71">
        <v>64</v>
      </c>
      <c r="C114" s="73">
        <v>125</v>
      </c>
    </row>
    <row r="115" spans="1:3" hidden="1">
      <c r="A115" s="119">
        <v>68</v>
      </c>
      <c r="B115" s="71">
        <v>64</v>
      </c>
      <c r="C115" s="73">
        <v>125</v>
      </c>
    </row>
    <row r="116" spans="1:3" hidden="1">
      <c r="A116" s="119">
        <v>69</v>
      </c>
      <c r="B116" s="71">
        <v>64</v>
      </c>
      <c r="C116" s="73">
        <v>125</v>
      </c>
    </row>
    <row r="117" spans="1:3" hidden="1">
      <c r="A117" s="119">
        <v>70</v>
      </c>
      <c r="B117" s="71">
        <v>64</v>
      </c>
      <c r="C117" s="73">
        <v>125</v>
      </c>
    </row>
    <row r="118" spans="1:3" hidden="1">
      <c r="A118" s="119">
        <v>71</v>
      </c>
      <c r="B118" s="71">
        <v>64</v>
      </c>
      <c r="C118" s="73">
        <v>125</v>
      </c>
    </row>
    <row r="119" spans="1:3" hidden="1">
      <c r="A119" s="119">
        <v>72</v>
      </c>
      <c r="B119" s="71">
        <v>64</v>
      </c>
      <c r="C119" s="73">
        <v>125</v>
      </c>
    </row>
    <row r="120" spans="1:3" hidden="1">
      <c r="A120" s="119">
        <v>73</v>
      </c>
      <c r="B120" s="71">
        <v>64</v>
      </c>
      <c r="C120" s="73">
        <v>125</v>
      </c>
    </row>
    <row r="121" spans="1:3" hidden="1">
      <c r="A121" s="119">
        <v>74</v>
      </c>
      <c r="B121" s="71">
        <v>64</v>
      </c>
      <c r="C121" s="73">
        <v>125</v>
      </c>
    </row>
    <row r="122" spans="1:3" hidden="1">
      <c r="A122" s="119">
        <v>75</v>
      </c>
      <c r="B122" s="71">
        <v>64</v>
      </c>
      <c r="C122" s="73">
        <v>125</v>
      </c>
    </row>
    <row r="123" spans="1:3" hidden="1">
      <c r="A123" s="119">
        <v>76</v>
      </c>
      <c r="B123" s="71">
        <v>64</v>
      </c>
      <c r="C123" s="73">
        <v>125</v>
      </c>
    </row>
    <row r="124" spans="1:3" hidden="1">
      <c r="A124" s="119">
        <v>77</v>
      </c>
      <c r="B124" s="71">
        <v>64</v>
      </c>
      <c r="C124" s="73">
        <v>125</v>
      </c>
    </row>
    <row r="125" spans="1:3" hidden="1">
      <c r="A125" s="119">
        <v>78</v>
      </c>
      <c r="B125" s="71">
        <v>64</v>
      </c>
      <c r="C125" s="73">
        <v>125</v>
      </c>
    </row>
    <row r="126" spans="1:3" hidden="1">
      <c r="A126" s="119">
        <v>79</v>
      </c>
      <c r="B126" s="71">
        <v>64</v>
      </c>
      <c r="C126" s="73">
        <v>125</v>
      </c>
    </row>
    <row r="127" spans="1:3" hidden="1">
      <c r="A127" s="119">
        <v>80</v>
      </c>
      <c r="B127" s="71">
        <v>64</v>
      </c>
      <c r="C127" s="73">
        <v>125</v>
      </c>
    </row>
    <row r="128" spans="1:3" hidden="1">
      <c r="A128" s="119">
        <v>81</v>
      </c>
      <c r="B128" s="71">
        <v>64</v>
      </c>
      <c r="C128" s="73">
        <v>125</v>
      </c>
    </row>
    <row r="129" spans="1:3" hidden="1">
      <c r="A129" s="119">
        <v>82</v>
      </c>
      <c r="B129" s="71">
        <v>64</v>
      </c>
      <c r="C129" s="73">
        <v>125</v>
      </c>
    </row>
    <row r="130" spans="1:3" hidden="1">
      <c r="A130" s="119">
        <v>83</v>
      </c>
      <c r="B130" s="71">
        <v>64</v>
      </c>
      <c r="C130" s="73">
        <v>125</v>
      </c>
    </row>
    <row r="131" spans="1:3" hidden="1">
      <c r="A131" s="119">
        <v>84</v>
      </c>
      <c r="B131" s="71">
        <v>64</v>
      </c>
      <c r="C131" s="73">
        <v>125</v>
      </c>
    </row>
    <row r="132" spans="1:3" hidden="1">
      <c r="A132" s="119">
        <v>85</v>
      </c>
      <c r="B132" s="71">
        <v>64</v>
      </c>
      <c r="C132" s="73">
        <v>125</v>
      </c>
    </row>
    <row r="133" spans="1:3" hidden="1">
      <c r="A133" s="119">
        <v>86</v>
      </c>
      <c r="B133" s="71">
        <v>64</v>
      </c>
      <c r="C133" s="73">
        <v>125</v>
      </c>
    </row>
    <row r="134" spans="1:3" hidden="1">
      <c r="A134" s="119">
        <v>87</v>
      </c>
      <c r="B134" s="71">
        <v>64</v>
      </c>
      <c r="C134" s="73">
        <v>125</v>
      </c>
    </row>
    <row r="135" spans="1:3" hidden="1">
      <c r="A135" s="119">
        <v>88</v>
      </c>
      <c r="B135" s="71">
        <v>64</v>
      </c>
      <c r="C135" s="73">
        <v>125</v>
      </c>
    </row>
    <row r="136" spans="1:3" hidden="1">
      <c r="A136" s="119">
        <v>89</v>
      </c>
      <c r="B136" s="71">
        <v>64</v>
      </c>
      <c r="C136" s="73">
        <v>125</v>
      </c>
    </row>
    <row r="137" spans="1:3" hidden="1">
      <c r="A137" s="119">
        <v>90</v>
      </c>
      <c r="B137" s="71">
        <v>64</v>
      </c>
      <c r="C137" s="73">
        <v>125</v>
      </c>
    </row>
    <row r="138" spans="1:3" hidden="1">
      <c r="A138" s="119">
        <v>91</v>
      </c>
      <c r="B138" s="71">
        <v>64</v>
      </c>
      <c r="C138" s="73">
        <v>125</v>
      </c>
    </row>
    <row r="139" spans="1:3" hidden="1">
      <c r="A139" s="119">
        <v>92</v>
      </c>
      <c r="B139" s="71">
        <v>64</v>
      </c>
      <c r="C139" s="73">
        <v>125</v>
      </c>
    </row>
    <row r="140" spans="1:3" hidden="1">
      <c r="A140" s="119">
        <v>93</v>
      </c>
      <c r="B140" s="71">
        <v>64</v>
      </c>
      <c r="C140" s="73">
        <v>125</v>
      </c>
    </row>
    <row r="141" spans="1:3" hidden="1">
      <c r="A141" s="119">
        <v>94</v>
      </c>
      <c r="B141" s="71">
        <v>64</v>
      </c>
      <c r="C141" s="73">
        <v>125</v>
      </c>
    </row>
    <row r="142" spans="1:3" hidden="1">
      <c r="A142" s="119">
        <v>95</v>
      </c>
      <c r="B142" s="71">
        <v>64</v>
      </c>
      <c r="C142" s="73">
        <v>125</v>
      </c>
    </row>
    <row r="143" spans="1:3" hidden="1">
      <c r="A143" s="119">
        <v>96</v>
      </c>
      <c r="B143" s="71">
        <v>64</v>
      </c>
      <c r="C143" s="73">
        <v>125</v>
      </c>
    </row>
    <row r="144" spans="1:3" hidden="1">
      <c r="A144" s="119">
        <v>97</v>
      </c>
      <c r="B144" s="71">
        <v>64</v>
      </c>
      <c r="C144" s="73">
        <v>125</v>
      </c>
    </row>
    <row r="145" spans="1:3" hidden="1">
      <c r="A145" s="119">
        <v>98</v>
      </c>
      <c r="B145" s="71">
        <v>64</v>
      </c>
      <c r="C145" s="73">
        <v>125</v>
      </c>
    </row>
    <row r="146" spans="1:3" hidden="1">
      <c r="A146" s="119">
        <v>99</v>
      </c>
      <c r="B146" s="71">
        <v>64</v>
      </c>
      <c r="C146" s="73">
        <v>125</v>
      </c>
    </row>
    <row r="147" spans="1:3" hidden="1">
      <c r="A147" s="119">
        <v>100</v>
      </c>
      <c r="B147" s="71">
        <v>64</v>
      </c>
      <c r="C147" s="73">
        <v>125</v>
      </c>
    </row>
    <row r="148" spans="1:3" hidden="1">
      <c r="A148" s="119">
        <v>101</v>
      </c>
      <c r="B148" s="71">
        <v>64</v>
      </c>
      <c r="C148" s="73">
        <v>125</v>
      </c>
    </row>
    <row r="149" spans="1:3" hidden="1">
      <c r="A149" s="119">
        <v>102</v>
      </c>
      <c r="B149" s="71">
        <v>64</v>
      </c>
      <c r="C149" s="73">
        <v>125</v>
      </c>
    </row>
    <row r="150" spans="1:3" hidden="1">
      <c r="A150" s="119">
        <v>103</v>
      </c>
      <c r="B150" s="71">
        <v>64</v>
      </c>
      <c r="C150" s="73">
        <v>125</v>
      </c>
    </row>
    <row r="151" spans="1:3" hidden="1">
      <c r="A151" s="119">
        <v>104</v>
      </c>
      <c r="B151" s="71">
        <v>64</v>
      </c>
      <c r="C151" s="73">
        <v>125</v>
      </c>
    </row>
    <row r="152" spans="1:3" hidden="1">
      <c r="A152" s="119">
        <v>105</v>
      </c>
      <c r="B152" s="71">
        <v>64</v>
      </c>
      <c r="C152" s="73">
        <v>125</v>
      </c>
    </row>
    <row r="153" spans="1:3" hidden="1">
      <c r="A153" s="119">
        <v>106</v>
      </c>
      <c r="B153" s="71">
        <v>64</v>
      </c>
      <c r="C153" s="73">
        <v>125</v>
      </c>
    </row>
    <row r="154" spans="1:3" hidden="1">
      <c r="A154" s="119">
        <v>107</v>
      </c>
      <c r="B154" s="71">
        <v>64</v>
      </c>
      <c r="C154" s="73">
        <v>125</v>
      </c>
    </row>
    <row r="155" spans="1:3" hidden="1">
      <c r="A155" s="119">
        <v>108</v>
      </c>
      <c r="B155" s="71">
        <v>64</v>
      </c>
      <c r="C155" s="73">
        <v>125</v>
      </c>
    </row>
    <row r="156" spans="1:3" hidden="1">
      <c r="A156" s="119">
        <v>109</v>
      </c>
      <c r="B156" s="71">
        <v>64</v>
      </c>
      <c r="C156" s="73">
        <v>125</v>
      </c>
    </row>
    <row r="157" spans="1:3" hidden="1">
      <c r="A157" s="119">
        <v>110</v>
      </c>
      <c r="B157" s="71">
        <v>64</v>
      </c>
      <c r="C157" s="73">
        <v>125</v>
      </c>
    </row>
    <row r="158" spans="1:3" hidden="1">
      <c r="A158" s="119">
        <v>111</v>
      </c>
      <c r="B158" s="71">
        <v>64</v>
      </c>
      <c r="C158" s="73">
        <v>125</v>
      </c>
    </row>
    <row r="159" spans="1:3" hidden="1">
      <c r="A159" s="119">
        <v>112</v>
      </c>
      <c r="B159" s="71">
        <v>64</v>
      </c>
      <c r="C159" s="73">
        <v>125</v>
      </c>
    </row>
    <row r="160" spans="1:3" hidden="1">
      <c r="A160" s="119">
        <v>113</v>
      </c>
      <c r="B160" s="71">
        <v>64</v>
      </c>
      <c r="C160" s="73">
        <v>125</v>
      </c>
    </row>
    <row r="161" spans="1:3" hidden="1">
      <c r="A161" s="119">
        <v>114</v>
      </c>
      <c r="B161" s="71">
        <v>64</v>
      </c>
      <c r="C161" s="73">
        <v>125</v>
      </c>
    </row>
    <row r="162" spans="1:3" hidden="1">
      <c r="A162" s="119">
        <v>115</v>
      </c>
      <c r="B162" s="71">
        <v>64</v>
      </c>
      <c r="C162" s="73">
        <v>125</v>
      </c>
    </row>
    <row r="163" spans="1:3" hidden="1">
      <c r="A163" s="119">
        <v>116</v>
      </c>
      <c r="B163" s="71">
        <v>64</v>
      </c>
      <c r="C163" s="73">
        <v>125</v>
      </c>
    </row>
    <row r="164" spans="1:3" hidden="1">
      <c r="A164" s="119">
        <v>117</v>
      </c>
      <c r="B164" s="71">
        <v>64</v>
      </c>
      <c r="C164" s="73">
        <v>125</v>
      </c>
    </row>
    <row r="165" spans="1:3" hidden="1">
      <c r="A165" s="119">
        <v>118</v>
      </c>
      <c r="B165" s="71">
        <v>64</v>
      </c>
      <c r="C165" s="73">
        <v>125</v>
      </c>
    </row>
    <row r="166" spans="1:3" hidden="1">
      <c r="A166" s="119">
        <v>119</v>
      </c>
      <c r="B166" s="71">
        <v>64</v>
      </c>
      <c r="C166" s="73">
        <v>125</v>
      </c>
    </row>
    <row r="167" spans="1:3" hidden="1">
      <c r="A167" s="119">
        <v>120</v>
      </c>
      <c r="B167" s="71">
        <v>64</v>
      </c>
      <c r="C167" s="73">
        <v>125</v>
      </c>
    </row>
    <row r="168" spans="1:3" hidden="1">
      <c r="A168" s="119">
        <v>121</v>
      </c>
      <c r="B168" s="71">
        <v>64</v>
      </c>
      <c r="C168" s="73">
        <v>125</v>
      </c>
    </row>
    <row r="169" spans="1:3" hidden="1">
      <c r="A169" s="119">
        <v>122</v>
      </c>
      <c r="B169" s="71">
        <v>64</v>
      </c>
      <c r="C169" s="73">
        <v>125</v>
      </c>
    </row>
    <row r="170" spans="1:3" hidden="1">
      <c r="A170" s="119">
        <v>123</v>
      </c>
      <c r="B170" s="71">
        <v>64</v>
      </c>
      <c r="C170" s="73">
        <v>125</v>
      </c>
    </row>
    <row r="171" spans="1:3" hidden="1">
      <c r="A171" s="119">
        <v>124</v>
      </c>
      <c r="B171" s="71">
        <v>64</v>
      </c>
      <c r="C171" s="73">
        <v>125</v>
      </c>
    </row>
    <row r="172" spans="1:3" hidden="1">
      <c r="A172" s="119">
        <v>125</v>
      </c>
      <c r="B172" s="71">
        <v>125</v>
      </c>
      <c r="C172" s="73">
        <v>216</v>
      </c>
    </row>
    <row r="173" spans="1:3" hidden="1">
      <c r="A173" s="119">
        <v>126</v>
      </c>
      <c r="B173" s="71">
        <v>125</v>
      </c>
      <c r="C173" s="73">
        <v>216</v>
      </c>
    </row>
    <row r="174" spans="1:3" hidden="1">
      <c r="A174" s="119">
        <v>127</v>
      </c>
      <c r="B174" s="71">
        <v>125</v>
      </c>
      <c r="C174" s="73">
        <v>216</v>
      </c>
    </row>
    <row r="175" spans="1:3" hidden="1">
      <c r="A175" s="119">
        <v>128</v>
      </c>
      <c r="B175" s="71">
        <v>125</v>
      </c>
      <c r="C175" s="73">
        <v>216</v>
      </c>
    </row>
    <row r="176" spans="1:3" hidden="1">
      <c r="A176" s="119">
        <v>129</v>
      </c>
      <c r="B176" s="71">
        <v>125</v>
      </c>
      <c r="C176" s="73">
        <v>216</v>
      </c>
    </row>
    <row r="177" spans="1:3" hidden="1">
      <c r="A177" s="119">
        <v>130</v>
      </c>
      <c r="B177" s="71">
        <v>125</v>
      </c>
      <c r="C177" s="73">
        <v>216</v>
      </c>
    </row>
    <row r="178" spans="1:3" hidden="1">
      <c r="A178" s="119">
        <v>131</v>
      </c>
      <c r="B178" s="71">
        <v>125</v>
      </c>
      <c r="C178" s="73">
        <v>216</v>
      </c>
    </row>
    <row r="179" spans="1:3" hidden="1">
      <c r="A179" s="119">
        <v>132</v>
      </c>
      <c r="B179" s="71">
        <v>125</v>
      </c>
      <c r="C179" s="73">
        <v>216</v>
      </c>
    </row>
    <row r="180" spans="1:3" hidden="1">
      <c r="A180" s="119">
        <v>133</v>
      </c>
      <c r="B180" s="71">
        <v>125</v>
      </c>
      <c r="C180" s="73">
        <v>216</v>
      </c>
    </row>
    <row r="181" spans="1:3" hidden="1">
      <c r="A181" s="119">
        <v>134</v>
      </c>
      <c r="B181" s="71">
        <v>125</v>
      </c>
      <c r="C181" s="73">
        <v>216</v>
      </c>
    </row>
    <row r="182" spans="1:3" hidden="1">
      <c r="A182" s="119">
        <v>135</v>
      </c>
      <c r="B182" s="71">
        <v>125</v>
      </c>
      <c r="C182" s="73">
        <v>216</v>
      </c>
    </row>
    <row r="183" spans="1:3" hidden="1">
      <c r="A183" s="119">
        <v>136</v>
      </c>
      <c r="B183" s="71">
        <v>125</v>
      </c>
      <c r="C183" s="73">
        <v>216</v>
      </c>
    </row>
    <row r="184" spans="1:3" hidden="1">
      <c r="A184" s="119">
        <v>137</v>
      </c>
      <c r="B184" s="71">
        <v>125</v>
      </c>
      <c r="C184" s="73">
        <v>216</v>
      </c>
    </row>
    <row r="185" spans="1:3" hidden="1">
      <c r="A185" s="119">
        <v>138</v>
      </c>
      <c r="B185" s="71">
        <v>125</v>
      </c>
      <c r="C185" s="73">
        <v>216</v>
      </c>
    </row>
    <row r="186" spans="1:3" hidden="1">
      <c r="A186" s="119">
        <v>139</v>
      </c>
      <c r="B186" s="71">
        <v>125</v>
      </c>
      <c r="C186" s="73">
        <v>216</v>
      </c>
    </row>
    <row r="187" spans="1:3" hidden="1">
      <c r="A187" s="119">
        <v>140</v>
      </c>
      <c r="B187" s="71">
        <v>125</v>
      </c>
      <c r="C187" s="73">
        <v>216</v>
      </c>
    </row>
    <row r="188" spans="1:3" hidden="1">
      <c r="A188" s="119">
        <v>141</v>
      </c>
      <c r="B188" s="71">
        <v>125</v>
      </c>
      <c r="C188" s="73">
        <v>216</v>
      </c>
    </row>
    <row r="189" spans="1:3" hidden="1">
      <c r="A189" s="119">
        <v>142</v>
      </c>
      <c r="B189" s="71">
        <v>125</v>
      </c>
      <c r="C189" s="73">
        <v>216</v>
      </c>
    </row>
    <row r="190" spans="1:3" hidden="1">
      <c r="A190" s="119">
        <v>143</v>
      </c>
      <c r="B190" s="71">
        <v>125</v>
      </c>
      <c r="C190" s="73">
        <v>216</v>
      </c>
    </row>
    <row r="191" spans="1:3" hidden="1">
      <c r="A191" s="119">
        <v>144</v>
      </c>
      <c r="B191" s="71">
        <v>125</v>
      </c>
      <c r="C191" s="73">
        <v>216</v>
      </c>
    </row>
    <row r="192" spans="1:3" hidden="1">
      <c r="A192" s="119">
        <v>145</v>
      </c>
      <c r="B192" s="71">
        <v>125</v>
      </c>
      <c r="C192" s="73">
        <v>216</v>
      </c>
    </row>
    <row r="193" spans="1:3" hidden="1">
      <c r="A193" s="119">
        <v>146</v>
      </c>
      <c r="B193" s="71">
        <v>125</v>
      </c>
      <c r="C193" s="73">
        <v>216</v>
      </c>
    </row>
    <row r="194" spans="1:3" hidden="1">
      <c r="A194" s="119">
        <v>147</v>
      </c>
      <c r="B194" s="71">
        <v>125</v>
      </c>
      <c r="C194" s="73">
        <v>216</v>
      </c>
    </row>
    <row r="195" spans="1:3" hidden="1">
      <c r="A195" s="119">
        <v>148</v>
      </c>
      <c r="B195" s="71">
        <v>125</v>
      </c>
      <c r="C195" s="73">
        <v>216</v>
      </c>
    </row>
    <row r="196" spans="1:3" hidden="1">
      <c r="A196" s="119">
        <v>149</v>
      </c>
      <c r="B196" s="71">
        <v>125</v>
      </c>
      <c r="C196" s="73">
        <v>216</v>
      </c>
    </row>
    <row r="197" spans="1:3" hidden="1">
      <c r="A197" s="119">
        <v>150</v>
      </c>
      <c r="B197" s="71">
        <v>125</v>
      </c>
      <c r="C197" s="73">
        <v>216</v>
      </c>
    </row>
    <row r="198" spans="1:3" hidden="1">
      <c r="A198" s="119">
        <v>151</v>
      </c>
      <c r="B198" s="71">
        <v>125</v>
      </c>
      <c r="C198" s="73">
        <v>216</v>
      </c>
    </row>
    <row r="199" spans="1:3" hidden="1">
      <c r="A199" s="119">
        <v>152</v>
      </c>
      <c r="B199" s="71">
        <v>125</v>
      </c>
      <c r="C199" s="73">
        <v>216</v>
      </c>
    </row>
    <row r="200" spans="1:3" hidden="1">
      <c r="A200" s="119">
        <v>153</v>
      </c>
      <c r="B200" s="71">
        <v>125</v>
      </c>
      <c r="C200" s="73">
        <v>216</v>
      </c>
    </row>
    <row r="201" spans="1:3" hidden="1">
      <c r="A201" s="119">
        <v>154</v>
      </c>
      <c r="B201" s="71">
        <v>125</v>
      </c>
      <c r="C201" s="73">
        <v>216</v>
      </c>
    </row>
    <row r="202" spans="1:3" hidden="1">
      <c r="A202" s="119">
        <v>155</v>
      </c>
      <c r="B202" s="71">
        <v>125</v>
      </c>
      <c r="C202" s="73">
        <v>216</v>
      </c>
    </row>
    <row r="203" spans="1:3" hidden="1">
      <c r="A203" s="119">
        <v>156</v>
      </c>
      <c r="B203" s="71">
        <v>125</v>
      </c>
      <c r="C203" s="73">
        <v>216</v>
      </c>
    </row>
    <row r="204" spans="1:3" hidden="1">
      <c r="A204" s="119">
        <v>157</v>
      </c>
      <c r="B204" s="71">
        <v>125</v>
      </c>
      <c r="C204" s="73">
        <v>216</v>
      </c>
    </row>
    <row r="205" spans="1:3" hidden="1">
      <c r="A205" s="119">
        <v>158</v>
      </c>
      <c r="B205" s="71">
        <v>125</v>
      </c>
      <c r="C205" s="73">
        <v>216</v>
      </c>
    </row>
    <row r="206" spans="1:3" hidden="1">
      <c r="A206" s="119">
        <v>159</v>
      </c>
      <c r="B206" s="71">
        <v>125</v>
      </c>
      <c r="C206" s="73">
        <v>216</v>
      </c>
    </row>
    <row r="207" spans="1:3" hidden="1">
      <c r="A207" s="119">
        <v>160</v>
      </c>
      <c r="B207" s="71">
        <v>125</v>
      </c>
      <c r="C207" s="73">
        <v>216</v>
      </c>
    </row>
    <row r="208" spans="1:3" hidden="1">
      <c r="A208" s="119">
        <v>161</v>
      </c>
      <c r="B208" s="71">
        <v>125</v>
      </c>
      <c r="C208" s="73">
        <v>216</v>
      </c>
    </row>
    <row r="209" spans="1:3" hidden="1">
      <c r="A209" s="119">
        <v>162</v>
      </c>
      <c r="B209" s="71">
        <v>125</v>
      </c>
      <c r="C209" s="73">
        <v>216</v>
      </c>
    </row>
    <row r="210" spans="1:3" hidden="1">
      <c r="A210" s="119">
        <v>163</v>
      </c>
      <c r="B210" s="71">
        <v>125</v>
      </c>
      <c r="C210" s="73">
        <v>216</v>
      </c>
    </row>
    <row r="211" spans="1:3" hidden="1">
      <c r="A211" s="119">
        <v>164</v>
      </c>
      <c r="B211" s="71">
        <v>125</v>
      </c>
      <c r="C211" s="73">
        <v>216</v>
      </c>
    </row>
    <row r="212" spans="1:3" hidden="1">
      <c r="A212" s="119">
        <v>165</v>
      </c>
      <c r="B212" s="71">
        <v>125</v>
      </c>
      <c r="C212" s="73">
        <v>216</v>
      </c>
    </row>
    <row r="213" spans="1:3" hidden="1">
      <c r="A213" s="119">
        <v>166</v>
      </c>
      <c r="B213" s="71">
        <v>125</v>
      </c>
      <c r="C213" s="73">
        <v>216</v>
      </c>
    </row>
    <row r="214" spans="1:3" hidden="1">
      <c r="A214" s="119">
        <v>167</v>
      </c>
      <c r="B214" s="71">
        <v>125</v>
      </c>
      <c r="C214" s="73">
        <v>216</v>
      </c>
    </row>
    <row r="215" spans="1:3" hidden="1">
      <c r="A215" s="119">
        <v>168</v>
      </c>
      <c r="B215" s="71">
        <v>125</v>
      </c>
      <c r="C215" s="73">
        <v>216</v>
      </c>
    </row>
    <row r="216" spans="1:3" hidden="1">
      <c r="A216" s="119">
        <v>169</v>
      </c>
      <c r="B216" s="71">
        <v>125</v>
      </c>
      <c r="C216" s="73">
        <v>216</v>
      </c>
    </row>
    <row r="217" spans="1:3" hidden="1">
      <c r="A217" s="119">
        <v>170</v>
      </c>
      <c r="B217" s="71">
        <v>125</v>
      </c>
      <c r="C217" s="73">
        <v>216</v>
      </c>
    </row>
    <row r="218" spans="1:3" hidden="1">
      <c r="A218" s="119">
        <v>171</v>
      </c>
      <c r="B218" s="71">
        <v>125</v>
      </c>
      <c r="C218" s="73">
        <v>216</v>
      </c>
    </row>
    <row r="219" spans="1:3" hidden="1">
      <c r="A219" s="119">
        <v>172</v>
      </c>
      <c r="B219" s="71">
        <v>125</v>
      </c>
      <c r="C219" s="73">
        <v>216</v>
      </c>
    </row>
    <row r="220" spans="1:3" hidden="1">
      <c r="A220" s="119">
        <v>173</v>
      </c>
      <c r="B220" s="71">
        <v>125</v>
      </c>
      <c r="C220" s="73">
        <v>216</v>
      </c>
    </row>
    <row r="221" spans="1:3" hidden="1">
      <c r="A221" s="119">
        <v>174</v>
      </c>
      <c r="B221" s="71">
        <v>125</v>
      </c>
      <c r="C221" s="73">
        <v>216</v>
      </c>
    </row>
    <row r="222" spans="1:3" hidden="1">
      <c r="A222" s="119">
        <v>175</v>
      </c>
      <c r="B222" s="71">
        <v>125</v>
      </c>
      <c r="C222" s="73">
        <v>216</v>
      </c>
    </row>
    <row r="223" spans="1:3" hidden="1">
      <c r="A223" s="119">
        <v>176</v>
      </c>
      <c r="B223" s="71">
        <v>125</v>
      </c>
      <c r="C223" s="73">
        <v>216</v>
      </c>
    </row>
    <row r="224" spans="1:3" hidden="1">
      <c r="A224" s="119">
        <v>177</v>
      </c>
      <c r="B224" s="71">
        <v>125</v>
      </c>
      <c r="C224" s="73">
        <v>216</v>
      </c>
    </row>
    <row r="225" spans="1:3" hidden="1">
      <c r="A225" s="119">
        <v>178</v>
      </c>
      <c r="B225" s="71">
        <v>125</v>
      </c>
      <c r="C225" s="73">
        <v>216</v>
      </c>
    </row>
    <row r="226" spans="1:3" hidden="1">
      <c r="A226" s="119">
        <v>179</v>
      </c>
      <c r="B226" s="71">
        <v>125</v>
      </c>
      <c r="C226" s="73">
        <v>216</v>
      </c>
    </row>
    <row r="227" spans="1:3" hidden="1">
      <c r="A227" s="119">
        <v>180</v>
      </c>
      <c r="B227" s="71">
        <v>125</v>
      </c>
      <c r="C227" s="73">
        <v>216</v>
      </c>
    </row>
    <row r="228" spans="1:3" hidden="1">
      <c r="A228" s="119">
        <v>181</v>
      </c>
      <c r="B228" s="71">
        <v>125</v>
      </c>
      <c r="C228" s="73">
        <v>216</v>
      </c>
    </row>
    <row r="229" spans="1:3" hidden="1">
      <c r="A229" s="119">
        <v>182</v>
      </c>
      <c r="B229" s="71">
        <v>125</v>
      </c>
      <c r="C229" s="73">
        <v>216</v>
      </c>
    </row>
    <row r="230" spans="1:3" hidden="1">
      <c r="A230" s="119">
        <v>183</v>
      </c>
      <c r="B230" s="71">
        <v>125</v>
      </c>
      <c r="C230" s="73">
        <v>216</v>
      </c>
    </row>
    <row r="231" spans="1:3" hidden="1">
      <c r="A231" s="119">
        <v>184</v>
      </c>
      <c r="B231" s="71">
        <v>125</v>
      </c>
      <c r="C231" s="73">
        <v>216</v>
      </c>
    </row>
    <row r="232" spans="1:3" hidden="1">
      <c r="A232" s="119">
        <v>185</v>
      </c>
      <c r="B232" s="71">
        <v>125</v>
      </c>
      <c r="C232" s="73">
        <v>216</v>
      </c>
    </row>
    <row r="233" spans="1:3" hidden="1">
      <c r="A233" s="119">
        <v>186</v>
      </c>
      <c r="B233" s="71">
        <v>125</v>
      </c>
      <c r="C233" s="73">
        <v>216</v>
      </c>
    </row>
    <row r="234" spans="1:3" hidden="1">
      <c r="A234" s="119">
        <v>187</v>
      </c>
      <c r="B234" s="71">
        <v>125</v>
      </c>
      <c r="C234" s="73">
        <v>216</v>
      </c>
    </row>
    <row r="235" spans="1:3" hidden="1">
      <c r="A235" s="119">
        <v>188</v>
      </c>
      <c r="B235" s="71">
        <v>125</v>
      </c>
      <c r="C235" s="73">
        <v>216</v>
      </c>
    </row>
    <row r="236" spans="1:3" hidden="1">
      <c r="A236" s="119">
        <v>189</v>
      </c>
      <c r="B236" s="71">
        <v>125</v>
      </c>
      <c r="C236" s="73">
        <v>216</v>
      </c>
    </row>
    <row r="237" spans="1:3" hidden="1">
      <c r="A237" s="119">
        <v>190</v>
      </c>
      <c r="B237" s="71">
        <v>125</v>
      </c>
      <c r="C237" s="73">
        <v>216</v>
      </c>
    </row>
    <row r="238" spans="1:3" hidden="1">
      <c r="A238" s="119">
        <v>191</v>
      </c>
      <c r="B238" s="71">
        <v>125</v>
      </c>
      <c r="C238" s="73">
        <v>216</v>
      </c>
    </row>
    <row r="239" spans="1:3" hidden="1">
      <c r="A239" s="119">
        <v>192</v>
      </c>
      <c r="B239" s="71">
        <v>125</v>
      </c>
      <c r="C239" s="73">
        <v>216</v>
      </c>
    </row>
    <row r="240" spans="1:3" hidden="1">
      <c r="A240" s="119">
        <v>193</v>
      </c>
      <c r="B240" s="71">
        <v>125</v>
      </c>
      <c r="C240" s="73">
        <v>216</v>
      </c>
    </row>
    <row r="241" spans="1:3" hidden="1">
      <c r="A241" s="119">
        <v>194</v>
      </c>
      <c r="B241" s="71">
        <v>125</v>
      </c>
      <c r="C241" s="73">
        <v>216</v>
      </c>
    </row>
    <row r="242" spans="1:3" hidden="1">
      <c r="A242" s="119">
        <v>195</v>
      </c>
      <c r="B242" s="71">
        <v>125</v>
      </c>
      <c r="C242" s="73">
        <v>216</v>
      </c>
    </row>
    <row r="243" spans="1:3" hidden="1">
      <c r="A243" s="119">
        <v>196</v>
      </c>
      <c r="B243" s="71">
        <v>125</v>
      </c>
      <c r="C243" s="73">
        <v>216</v>
      </c>
    </row>
    <row r="244" spans="1:3" hidden="1">
      <c r="A244" s="119">
        <v>197</v>
      </c>
      <c r="B244" s="71">
        <v>125</v>
      </c>
      <c r="C244" s="73">
        <v>216</v>
      </c>
    </row>
    <row r="245" spans="1:3" hidden="1">
      <c r="A245" s="119">
        <v>198</v>
      </c>
      <c r="B245" s="71">
        <v>125</v>
      </c>
      <c r="C245" s="73">
        <v>216</v>
      </c>
    </row>
    <row r="246" spans="1:3" hidden="1">
      <c r="A246" s="119">
        <v>199</v>
      </c>
      <c r="B246" s="71">
        <v>125</v>
      </c>
      <c r="C246" s="73">
        <v>216</v>
      </c>
    </row>
    <row r="247" spans="1:3" hidden="1">
      <c r="A247" s="119">
        <v>200</v>
      </c>
      <c r="B247" s="71">
        <v>125</v>
      </c>
      <c r="C247" s="73">
        <v>216</v>
      </c>
    </row>
    <row r="248" spans="1:3" hidden="1">
      <c r="A248" s="119">
        <v>201</v>
      </c>
      <c r="B248" s="71">
        <v>125</v>
      </c>
      <c r="C248" s="73">
        <v>216</v>
      </c>
    </row>
    <row r="249" spans="1:3" hidden="1">
      <c r="A249" s="119">
        <v>202</v>
      </c>
      <c r="B249" s="71">
        <v>125</v>
      </c>
      <c r="C249" s="73">
        <v>216</v>
      </c>
    </row>
    <row r="250" spans="1:3" hidden="1">
      <c r="A250" s="119">
        <v>203</v>
      </c>
      <c r="B250" s="71">
        <v>125</v>
      </c>
      <c r="C250" s="73">
        <v>216</v>
      </c>
    </row>
    <row r="251" spans="1:3" hidden="1">
      <c r="A251" s="119">
        <v>204</v>
      </c>
      <c r="B251" s="71">
        <v>125</v>
      </c>
      <c r="C251" s="73">
        <v>216</v>
      </c>
    </row>
    <row r="252" spans="1:3" hidden="1">
      <c r="A252" s="119">
        <v>205</v>
      </c>
      <c r="B252" s="71">
        <v>125</v>
      </c>
      <c r="C252" s="73">
        <v>216</v>
      </c>
    </row>
    <row r="253" spans="1:3" hidden="1">
      <c r="A253" s="119">
        <v>206</v>
      </c>
      <c r="B253" s="71">
        <v>125</v>
      </c>
      <c r="C253" s="73">
        <v>216</v>
      </c>
    </row>
    <row r="254" spans="1:3" hidden="1">
      <c r="A254" s="119">
        <v>207</v>
      </c>
      <c r="B254" s="71">
        <v>125</v>
      </c>
      <c r="C254" s="73">
        <v>216</v>
      </c>
    </row>
    <row r="255" spans="1:3" hidden="1">
      <c r="A255" s="119">
        <v>208</v>
      </c>
      <c r="B255" s="71">
        <v>125</v>
      </c>
      <c r="C255" s="73">
        <v>216</v>
      </c>
    </row>
    <row r="256" spans="1:3" hidden="1">
      <c r="A256" s="119">
        <v>209</v>
      </c>
      <c r="B256" s="71">
        <v>125</v>
      </c>
      <c r="C256" s="73">
        <v>216</v>
      </c>
    </row>
    <row r="257" spans="1:3" hidden="1">
      <c r="A257" s="119">
        <v>210</v>
      </c>
      <c r="B257" s="71">
        <v>125</v>
      </c>
      <c r="C257" s="73">
        <v>216</v>
      </c>
    </row>
    <row r="258" spans="1:3" hidden="1">
      <c r="A258" s="119">
        <v>211</v>
      </c>
      <c r="B258" s="71">
        <v>125</v>
      </c>
      <c r="C258" s="73">
        <v>216</v>
      </c>
    </row>
    <row r="259" spans="1:3" hidden="1">
      <c r="A259" s="119">
        <v>212</v>
      </c>
      <c r="B259" s="71">
        <v>125</v>
      </c>
      <c r="C259" s="73">
        <v>216</v>
      </c>
    </row>
    <row r="260" spans="1:3" hidden="1">
      <c r="A260" s="119">
        <v>213</v>
      </c>
      <c r="B260" s="71">
        <v>125</v>
      </c>
      <c r="C260" s="73">
        <v>216</v>
      </c>
    </row>
    <row r="261" spans="1:3" hidden="1">
      <c r="A261" s="119">
        <v>214</v>
      </c>
      <c r="B261" s="71">
        <v>125</v>
      </c>
      <c r="C261" s="73">
        <v>216</v>
      </c>
    </row>
    <row r="262" spans="1:3" hidden="1">
      <c r="A262" s="119">
        <v>215</v>
      </c>
      <c r="B262" s="71">
        <v>125</v>
      </c>
      <c r="C262" s="73">
        <v>216</v>
      </c>
    </row>
    <row r="263" spans="1:3" hidden="1">
      <c r="A263" s="119">
        <v>216</v>
      </c>
      <c r="B263" s="71">
        <v>216</v>
      </c>
      <c r="C263" s="73">
        <v>343</v>
      </c>
    </row>
    <row r="264" spans="1:3" hidden="1">
      <c r="A264" s="119">
        <v>217</v>
      </c>
      <c r="B264" s="71">
        <v>216</v>
      </c>
      <c r="C264" s="73">
        <v>343</v>
      </c>
    </row>
    <row r="265" spans="1:3" hidden="1">
      <c r="A265" s="119">
        <v>218</v>
      </c>
      <c r="B265" s="71">
        <v>216</v>
      </c>
      <c r="C265" s="73">
        <v>343</v>
      </c>
    </row>
    <row r="266" spans="1:3" hidden="1">
      <c r="A266" s="119">
        <v>219</v>
      </c>
      <c r="B266" s="71">
        <v>216</v>
      </c>
      <c r="C266" s="73">
        <v>343</v>
      </c>
    </row>
    <row r="267" spans="1:3" hidden="1">
      <c r="A267" s="119">
        <v>220</v>
      </c>
      <c r="B267" s="71">
        <v>216</v>
      </c>
      <c r="C267" s="73">
        <v>343</v>
      </c>
    </row>
    <row r="268" spans="1:3" hidden="1">
      <c r="A268" s="119">
        <v>221</v>
      </c>
      <c r="B268" s="71">
        <v>216</v>
      </c>
      <c r="C268" s="73">
        <v>343</v>
      </c>
    </row>
    <row r="269" spans="1:3" hidden="1">
      <c r="A269" s="119">
        <v>222</v>
      </c>
      <c r="B269" s="71">
        <v>216</v>
      </c>
      <c r="C269" s="73">
        <v>343</v>
      </c>
    </row>
    <row r="270" spans="1:3" hidden="1">
      <c r="A270" s="119">
        <v>223</v>
      </c>
      <c r="B270" s="71">
        <v>216</v>
      </c>
      <c r="C270" s="73">
        <v>343</v>
      </c>
    </row>
    <row r="271" spans="1:3" hidden="1">
      <c r="A271" s="119">
        <v>224</v>
      </c>
      <c r="B271" s="71">
        <v>216</v>
      </c>
      <c r="C271" s="73">
        <v>343</v>
      </c>
    </row>
    <row r="272" spans="1:3" hidden="1">
      <c r="A272" s="119">
        <v>225</v>
      </c>
      <c r="B272" s="71">
        <v>216</v>
      </c>
      <c r="C272" s="73">
        <v>343</v>
      </c>
    </row>
    <row r="273" spans="1:3" hidden="1">
      <c r="A273" s="119">
        <v>226</v>
      </c>
      <c r="B273" s="71">
        <v>216</v>
      </c>
      <c r="C273" s="73">
        <v>343</v>
      </c>
    </row>
    <row r="274" spans="1:3" hidden="1">
      <c r="A274" s="119">
        <v>227</v>
      </c>
      <c r="B274" s="71">
        <v>216</v>
      </c>
      <c r="C274" s="73">
        <v>343</v>
      </c>
    </row>
    <row r="275" spans="1:3" hidden="1">
      <c r="A275" s="119">
        <v>228</v>
      </c>
      <c r="B275" s="71">
        <v>216</v>
      </c>
      <c r="C275" s="73">
        <v>343</v>
      </c>
    </row>
    <row r="276" spans="1:3" hidden="1">
      <c r="A276" s="119">
        <v>229</v>
      </c>
      <c r="B276" s="71">
        <v>216</v>
      </c>
      <c r="C276" s="73">
        <v>343</v>
      </c>
    </row>
    <row r="277" spans="1:3" hidden="1">
      <c r="A277" s="119">
        <v>230</v>
      </c>
      <c r="B277" s="71">
        <v>216</v>
      </c>
      <c r="C277" s="73">
        <v>343</v>
      </c>
    </row>
    <row r="278" spans="1:3" hidden="1">
      <c r="A278" s="119">
        <v>231</v>
      </c>
      <c r="B278" s="71">
        <v>216</v>
      </c>
      <c r="C278" s="73">
        <v>343</v>
      </c>
    </row>
    <row r="279" spans="1:3" hidden="1">
      <c r="A279" s="119">
        <v>232</v>
      </c>
      <c r="B279" s="71">
        <v>216</v>
      </c>
      <c r="C279" s="73">
        <v>343</v>
      </c>
    </row>
    <row r="280" spans="1:3" hidden="1">
      <c r="A280" s="119">
        <v>233</v>
      </c>
      <c r="B280" s="71">
        <v>216</v>
      </c>
      <c r="C280" s="73">
        <v>343</v>
      </c>
    </row>
    <row r="281" spans="1:3" hidden="1">
      <c r="A281" s="119">
        <v>234</v>
      </c>
      <c r="B281" s="71">
        <v>216</v>
      </c>
      <c r="C281" s="73">
        <v>343</v>
      </c>
    </row>
    <row r="282" spans="1:3" hidden="1">
      <c r="A282" s="119">
        <v>235</v>
      </c>
      <c r="B282" s="71">
        <v>216</v>
      </c>
      <c r="C282" s="73">
        <v>343</v>
      </c>
    </row>
    <row r="283" spans="1:3" hidden="1">
      <c r="A283" s="119">
        <v>236</v>
      </c>
      <c r="B283" s="71">
        <v>216</v>
      </c>
      <c r="C283" s="73">
        <v>343</v>
      </c>
    </row>
    <row r="284" spans="1:3" hidden="1">
      <c r="A284" s="119">
        <v>237</v>
      </c>
      <c r="B284" s="71">
        <v>216</v>
      </c>
      <c r="C284" s="73">
        <v>343</v>
      </c>
    </row>
    <row r="285" spans="1:3" hidden="1">
      <c r="A285" s="119">
        <v>238</v>
      </c>
      <c r="B285" s="71">
        <v>216</v>
      </c>
      <c r="C285" s="73">
        <v>343</v>
      </c>
    </row>
    <row r="286" spans="1:3" hidden="1">
      <c r="A286" s="119">
        <v>239</v>
      </c>
      <c r="B286" s="71">
        <v>216</v>
      </c>
      <c r="C286" s="73">
        <v>343</v>
      </c>
    </row>
    <row r="287" spans="1:3" hidden="1">
      <c r="A287" s="119">
        <v>240</v>
      </c>
      <c r="B287" s="71">
        <v>216</v>
      </c>
      <c r="C287" s="73">
        <v>343</v>
      </c>
    </row>
    <row r="288" spans="1:3" hidden="1">
      <c r="A288" s="119">
        <v>241</v>
      </c>
      <c r="B288" s="71">
        <v>216</v>
      </c>
      <c r="C288" s="73">
        <v>343</v>
      </c>
    </row>
    <row r="289" spans="1:3" hidden="1">
      <c r="A289" s="119">
        <v>242</v>
      </c>
      <c r="B289" s="71">
        <v>216</v>
      </c>
      <c r="C289" s="73">
        <v>343</v>
      </c>
    </row>
    <row r="290" spans="1:3" hidden="1">
      <c r="A290" s="119">
        <v>243</v>
      </c>
      <c r="B290" s="71">
        <v>216</v>
      </c>
      <c r="C290" s="73">
        <v>343</v>
      </c>
    </row>
    <row r="291" spans="1:3" hidden="1">
      <c r="A291" s="119">
        <v>244</v>
      </c>
      <c r="B291" s="71">
        <v>216</v>
      </c>
      <c r="C291" s="73">
        <v>343</v>
      </c>
    </row>
    <row r="292" spans="1:3" hidden="1">
      <c r="A292" s="119">
        <v>245</v>
      </c>
      <c r="B292" s="71">
        <v>216</v>
      </c>
      <c r="C292" s="73">
        <v>343</v>
      </c>
    </row>
    <row r="293" spans="1:3" hidden="1">
      <c r="A293" s="119">
        <v>246</v>
      </c>
      <c r="B293" s="71">
        <v>216</v>
      </c>
      <c r="C293" s="73">
        <v>343</v>
      </c>
    </row>
    <row r="294" spans="1:3" hidden="1">
      <c r="A294" s="119">
        <v>247</v>
      </c>
      <c r="B294" s="71">
        <v>216</v>
      </c>
      <c r="C294" s="73">
        <v>343</v>
      </c>
    </row>
    <row r="295" spans="1:3" hidden="1">
      <c r="A295" s="119">
        <v>248</v>
      </c>
      <c r="B295" s="71">
        <v>216</v>
      </c>
      <c r="C295" s="73">
        <v>343</v>
      </c>
    </row>
    <row r="296" spans="1:3" hidden="1">
      <c r="A296" s="119">
        <v>249</v>
      </c>
      <c r="B296" s="71">
        <v>216</v>
      </c>
      <c r="C296" s="73">
        <v>343</v>
      </c>
    </row>
    <row r="297" spans="1:3" hidden="1">
      <c r="A297" s="119">
        <v>250</v>
      </c>
      <c r="B297" s="71">
        <v>216</v>
      </c>
      <c r="C297" s="73">
        <v>343</v>
      </c>
    </row>
    <row r="298" spans="1:3" hidden="1">
      <c r="A298" s="119">
        <v>251</v>
      </c>
      <c r="B298" s="71">
        <v>216</v>
      </c>
      <c r="C298" s="73">
        <v>343</v>
      </c>
    </row>
    <row r="299" spans="1:3" hidden="1">
      <c r="A299" s="119">
        <v>252</v>
      </c>
      <c r="B299" s="71">
        <v>216</v>
      </c>
      <c r="C299" s="73">
        <v>343</v>
      </c>
    </row>
    <row r="300" spans="1:3" hidden="1">
      <c r="A300" s="119">
        <v>253</v>
      </c>
      <c r="B300" s="71">
        <v>216</v>
      </c>
      <c r="C300" s="73">
        <v>343</v>
      </c>
    </row>
    <row r="301" spans="1:3" hidden="1">
      <c r="A301" s="119">
        <v>254</v>
      </c>
      <c r="B301" s="71">
        <v>216</v>
      </c>
      <c r="C301" s="73">
        <v>343</v>
      </c>
    </row>
    <row r="302" spans="1:3" hidden="1">
      <c r="A302" s="119">
        <v>255</v>
      </c>
      <c r="B302" s="71">
        <v>216</v>
      </c>
      <c r="C302" s="73">
        <v>343</v>
      </c>
    </row>
    <row r="303" spans="1:3" hidden="1">
      <c r="A303" s="119">
        <v>256</v>
      </c>
      <c r="B303" s="71">
        <v>216</v>
      </c>
      <c r="C303" s="73">
        <v>343</v>
      </c>
    </row>
    <row r="304" spans="1:3" hidden="1">
      <c r="A304" s="119">
        <v>257</v>
      </c>
      <c r="B304" s="71">
        <v>216</v>
      </c>
      <c r="C304" s="73">
        <v>343</v>
      </c>
    </row>
    <row r="305" spans="1:3" hidden="1">
      <c r="A305" s="119">
        <v>258</v>
      </c>
      <c r="B305" s="71">
        <v>216</v>
      </c>
      <c r="C305" s="73">
        <v>343</v>
      </c>
    </row>
    <row r="306" spans="1:3" hidden="1">
      <c r="A306" s="119">
        <v>259</v>
      </c>
      <c r="B306" s="71">
        <v>216</v>
      </c>
      <c r="C306" s="73">
        <v>343</v>
      </c>
    </row>
    <row r="307" spans="1:3" hidden="1">
      <c r="A307" s="119">
        <v>260</v>
      </c>
      <c r="B307" s="71">
        <v>216</v>
      </c>
      <c r="C307" s="73">
        <v>343</v>
      </c>
    </row>
    <row r="308" spans="1:3" hidden="1">
      <c r="A308" s="119">
        <v>261</v>
      </c>
      <c r="B308" s="71">
        <v>216</v>
      </c>
      <c r="C308" s="73">
        <v>343</v>
      </c>
    </row>
    <row r="309" spans="1:3" hidden="1">
      <c r="A309" s="119">
        <v>262</v>
      </c>
      <c r="B309" s="71">
        <v>216</v>
      </c>
      <c r="C309" s="73">
        <v>343</v>
      </c>
    </row>
    <row r="310" spans="1:3" hidden="1">
      <c r="A310" s="119">
        <v>263</v>
      </c>
      <c r="B310" s="71">
        <v>216</v>
      </c>
      <c r="C310" s="73">
        <v>343</v>
      </c>
    </row>
    <row r="311" spans="1:3" hidden="1">
      <c r="A311" s="119">
        <v>264</v>
      </c>
      <c r="B311" s="71">
        <v>216</v>
      </c>
      <c r="C311" s="73">
        <v>343</v>
      </c>
    </row>
    <row r="312" spans="1:3" hidden="1">
      <c r="A312" s="119">
        <v>265</v>
      </c>
      <c r="B312" s="71">
        <v>216</v>
      </c>
      <c r="C312" s="73">
        <v>343</v>
      </c>
    </row>
    <row r="313" spans="1:3" hidden="1">
      <c r="A313" s="119">
        <v>266</v>
      </c>
      <c r="B313" s="71">
        <v>216</v>
      </c>
      <c r="C313" s="73">
        <v>343</v>
      </c>
    </row>
    <row r="314" spans="1:3" hidden="1">
      <c r="A314" s="119">
        <v>267</v>
      </c>
      <c r="B314" s="71">
        <v>216</v>
      </c>
      <c r="C314" s="73">
        <v>343</v>
      </c>
    </row>
    <row r="315" spans="1:3" hidden="1">
      <c r="A315" s="119">
        <v>268</v>
      </c>
      <c r="B315" s="71">
        <v>216</v>
      </c>
      <c r="C315" s="73">
        <v>343</v>
      </c>
    </row>
    <row r="316" spans="1:3" hidden="1">
      <c r="A316" s="119">
        <v>269</v>
      </c>
      <c r="B316" s="71">
        <v>216</v>
      </c>
      <c r="C316" s="73">
        <v>343</v>
      </c>
    </row>
    <row r="317" spans="1:3" hidden="1">
      <c r="A317" s="119">
        <v>270</v>
      </c>
      <c r="B317" s="71">
        <v>216</v>
      </c>
      <c r="C317" s="73">
        <v>343</v>
      </c>
    </row>
    <row r="318" spans="1:3" hidden="1">
      <c r="A318" s="119">
        <v>271</v>
      </c>
      <c r="B318" s="71">
        <v>216</v>
      </c>
      <c r="C318" s="73">
        <v>343</v>
      </c>
    </row>
    <row r="319" spans="1:3" hidden="1">
      <c r="A319" s="119">
        <v>272</v>
      </c>
      <c r="B319" s="71">
        <v>216</v>
      </c>
      <c r="C319" s="73">
        <v>343</v>
      </c>
    </row>
    <row r="320" spans="1:3" hidden="1">
      <c r="A320" s="119">
        <v>273</v>
      </c>
      <c r="B320" s="71">
        <v>216</v>
      </c>
      <c r="C320" s="73">
        <v>343</v>
      </c>
    </row>
    <row r="321" spans="1:3" hidden="1">
      <c r="A321" s="119">
        <v>274</v>
      </c>
      <c r="B321" s="71">
        <v>216</v>
      </c>
      <c r="C321" s="73">
        <v>343</v>
      </c>
    </row>
    <row r="322" spans="1:3" hidden="1">
      <c r="A322" s="119">
        <v>275</v>
      </c>
      <c r="B322" s="71">
        <v>216</v>
      </c>
      <c r="C322" s="73">
        <v>343</v>
      </c>
    </row>
    <row r="323" spans="1:3" hidden="1">
      <c r="A323" s="119">
        <v>276</v>
      </c>
      <c r="B323" s="71">
        <v>216</v>
      </c>
      <c r="C323" s="73">
        <v>343</v>
      </c>
    </row>
    <row r="324" spans="1:3" hidden="1">
      <c r="A324" s="119">
        <v>277</v>
      </c>
      <c r="B324" s="71">
        <v>216</v>
      </c>
      <c r="C324" s="73">
        <v>343</v>
      </c>
    </row>
    <row r="325" spans="1:3" hidden="1">
      <c r="A325" s="119">
        <v>278</v>
      </c>
      <c r="B325" s="71">
        <v>216</v>
      </c>
      <c r="C325" s="73">
        <v>343</v>
      </c>
    </row>
    <row r="326" spans="1:3" hidden="1">
      <c r="A326" s="119">
        <v>279</v>
      </c>
      <c r="B326" s="71">
        <v>216</v>
      </c>
      <c r="C326" s="73">
        <v>343</v>
      </c>
    </row>
    <row r="327" spans="1:3" hidden="1">
      <c r="A327" s="119">
        <v>280</v>
      </c>
      <c r="B327" s="71">
        <v>216</v>
      </c>
      <c r="C327" s="73">
        <v>343</v>
      </c>
    </row>
    <row r="328" spans="1:3" hidden="1">
      <c r="A328" s="119">
        <v>281</v>
      </c>
      <c r="B328" s="71">
        <v>216</v>
      </c>
      <c r="C328" s="73">
        <v>343</v>
      </c>
    </row>
    <row r="329" spans="1:3" hidden="1">
      <c r="A329" s="119">
        <v>282</v>
      </c>
      <c r="B329" s="71">
        <v>216</v>
      </c>
      <c r="C329" s="73">
        <v>343</v>
      </c>
    </row>
    <row r="330" spans="1:3" hidden="1">
      <c r="A330" s="119">
        <v>283</v>
      </c>
      <c r="B330" s="71">
        <v>216</v>
      </c>
      <c r="C330" s="73">
        <v>343</v>
      </c>
    </row>
    <row r="331" spans="1:3" hidden="1">
      <c r="A331" s="119">
        <v>284</v>
      </c>
      <c r="B331" s="71">
        <v>216</v>
      </c>
      <c r="C331" s="73">
        <v>343</v>
      </c>
    </row>
    <row r="332" spans="1:3" hidden="1">
      <c r="A332" s="119">
        <v>285</v>
      </c>
      <c r="B332" s="71">
        <v>216</v>
      </c>
      <c r="C332" s="73">
        <v>343</v>
      </c>
    </row>
    <row r="333" spans="1:3" hidden="1">
      <c r="A333" s="119">
        <v>286</v>
      </c>
      <c r="B333" s="71">
        <v>216</v>
      </c>
      <c r="C333" s="73">
        <v>343</v>
      </c>
    </row>
    <row r="334" spans="1:3" hidden="1">
      <c r="A334" s="119">
        <v>287</v>
      </c>
      <c r="B334" s="71">
        <v>216</v>
      </c>
      <c r="C334" s="73">
        <v>343</v>
      </c>
    </row>
    <row r="335" spans="1:3" hidden="1">
      <c r="A335" s="119">
        <v>288</v>
      </c>
      <c r="B335" s="71">
        <v>216</v>
      </c>
      <c r="C335" s="73">
        <v>343</v>
      </c>
    </row>
    <row r="336" spans="1:3" hidden="1">
      <c r="A336" s="119">
        <v>289</v>
      </c>
      <c r="B336" s="71">
        <v>216</v>
      </c>
      <c r="C336" s="73">
        <v>343</v>
      </c>
    </row>
    <row r="337" spans="1:3" hidden="1">
      <c r="A337" s="119">
        <v>290</v>
      </c>
      <c r="B337" s="71">
        <v>216</v>
      </c>
      <c r="C337" s="73">
        <v>343</v>
      </c>
    </row>
    <row r="338" spans="1:3" hidden="1">
      <c r="A338" s="119">
        <v>291</v>
      </c>
      <c r="B338" s="71">
        <v>216</v>
      </c>
      <c r="C338" s="73">
        <v>343</v>
      </c>
    </row>
    <row r="339" spans="1:3" hidden="1">
      <c r="A339" s="119">
        <v>292</v>
      </c>
      <c r="B339" s="71">
        <v>216</v>
      </c>
      <c r="C339" s="73">
        <v>343</v>
      </c>
    </row>
    <row r="340" spans="1:3" hidden="1">
      <c r="A340" s="119">
        <v>293</v>
      </c>
      <c r="B340" s="71">
        <v>216</v>
      </c>
      <c r="C340" s="73">
        <v>343</v>
      </c>
    </row>
    <row r="341" spans="1:3" hidden="1">
      <c r="A341" s="119">
        <v>294</v>
      </c>
      <c r="B341" s="71">
        <v>216</v>
      </c>
      <c r="C341" s="73">
        <v>343</v>
      </c>
    </row>
    <row r="342" spans="1:3" hidden="1">
      <c r="A342" s="119">
        <v>295</v>
      </c>
      <c r="B342" s="71">
        <v>216</v>
      </c>
      <c r="C342" s="73">
        <v>343</v>
      </c>
    </row>
    <row r="343" spans="1:3" hidden="1">
      <c r="A343" s="119">
        <v>296</v>
      </c>
      <c r="B343" s="71">
        <v>216</v>
      </c>
      <c r="C343" s="73">
        <v>343</v>
      </c>
    </row>
    <row r="344" spans="1:3" hidden="1">
      <c r="A344" s="119">
        <v>297</v>
      </c>
      <c r="B344" s="71">
        <v>216</v>
      </c>
      <c r="C344" s="73">
        <v>343</v>
      </c>
    </row>
    <row r="345" spans="1:3" hidden="1">
      <c r="A345" s="119">
        <v>298</v>
      </c>
      <c r="B345" s="71">
        <v>216</v>
      </c>
      <c r="C345" s="73">
        <v>343</v>
      </c>
    </row>
    <row r="346" spans="1:3" hidden="1">
      <c r="A346" s="119">
        <v>299</v>
      </c>
      <c r="B346" s="71">
        <v>216</v>
      </c>
      <c r="C346" s="73">
        <v>343</v>
      </c>
    </row>
    <row r="347" spans="1:3" hidden="1">
      <c r="A347" s="119">
        <v>300</v>
      </c>
      <c r="B347" s="71">
        <v>216</v>
      </c>
      <c r="C347" s="73">
        <v>343</v>
      </c>
    </row>
    <row r="348" spans="1:3" hidden="1">
      <c r="A348" s="119">
        <v>301</v>
      </c>
      <c r="B348" s="71">
        <v>216</v>
      </c>
      <c r="C348" s="73">
        <v>343</v>
      </c>
    </row>
    <row r="349" spans="1:3" hidden="1">
      <c r="A349" s="119">
        <v>302</v>
      </c>
      <c r="B349" s="71">
        <v>216</v>
      </c>
      <c r="C349" s="73">
        <v>343</v>
      </c>
    </row>
    <row r="350" spans="1:3" hidden="1">
      <c r="A350" s="119">
        <v>303</v>
      </c>
      <c r="B350" s="71">
        <v>216</v>
      </c>
      <c r="C350" s="73">
        <v>343</v>
      </c>
    </row>
    <row r="351" spans="1:3" hidden="1">
      <c r="A351" s="119">
        <v>304</v>
      </c>
      <c r="B351" s="71">
        <v>216</v>
      </c>
      <c r="C351" s="73">
        <v>343</v>
      </c>
    </row>
    <row r="352" spans="1:3" hidden="1">
      <c r="A352" s="119">
        <v>305</v>
      </c>
      <c r="B352" s="71">
        <v>216</v>
      </c>
      <c r="C352" s="73">
        <v>343</v>
      </c>
    </row>
    <row r="353" spans="1:3" hidden="1">
      <c r="A353" s="119">
        <v>306</v>
      </c>
      <c r="B353" s="71">
        <v>216</v>
      </c>
      <c r="C353" s="73">
        <v>343</v>
      </c>
    </row>
    <row r="354" spans="1:3" hidden="1">
      <c r="A354" s="119">
        <v>307</v>
      </c>
      <c r="B354" s="71">
        <v>216</v>
      </c>
      <c r="C354" s="73">
        <v>343</v>
      </c>
    </row>
    <row r="355" spans="1:3" hidden="1">
      <c r="A355" s="119">
        <v>308</v>
      </c>
      <c r="B355" s="71">
        <v>216</v>
      </c>
      <c r="C355" s="73">
        <v>343</v>
      </c>
    </row>
    <row r="356" spans="1:3" hidden="1">
      <c r="A356" s="119">
        <v>309</v>
      </c>
      <c r="B356" s="71">
        <v>216</v>
      </c>
      <c r="C356" s="73">
        <v>343</v>
      </c>
    </row>
    <row r="357" spans="1:3" hidden="1">
      <c r="A357" s="119">
        <v>310</v>
      </c>
      <c r="B357" s="71">
        <v>216</v>
      </c>
      <c r="C357" s="73">
        <v>343</v>
      </c>
    </row>
    <row r="358" spans="1:3" hidden="1">
      <c r="A358" s="119">
        <v>311</v>
      </c>
      <c r="B358" s="71">
        <v>216</v>
      </c>
      <c r="C358" s="73">
        <v>343</v>
      </c>
    </row>
    <row r="359" spans="1:3" hidden="1">
      <c r="A359" s="119">
        <v>312</v>
      </c>
      <c r="B359" s="71">
        <v>216</v>
      </c>
      <c r="C359" s="73">
        <v>343</v>
      </c>
    </row>
    <row r="360" spans="1:3" hidden="1">
      <c r="A360" s="119">
        <v>313</v>
      </c>
      <c r="B360" s="71">
        <v>216</v>
      </c>
      <c r="C360" s="73">
        <v>343</v>
      </c>
    </row>
    <row r="361" spans="1:3" hidden="1">
      <c r="A361" s="119">
        <v>314</v>
      </c>
      <c r="B361" s="71">
        <v>216</v>
      </c>
      <c r="C361" s="73">
        <v>343</v>
      </c>
    </row>
    <row r="362" spans="1:3" hidden="1">
      <c r="A362" s="119">
        <v>315</v>
      </c>
      <c r="B362" s="71">
        <v>216</v>
      </c>
      <c r="C362" s="73">
        <v>343</v>
      </c>
    </row>
    <row r="363" spans="1:3" hidden="1">
      <c r="A363" s="119">
        <v>316</v>
      </c>
      <c r="B363" s="71">
        <v>216</v>
      </c>
      <c r="C363" s="73">
        <v>343</v>
      </c>
    </row>
    <row r="364" spans="1:3" hidden="1">
      <c r="A364" s="119">
        <v>317</v>
      </c>
      <c r="B364" s="71">
        <v>216</v>
      </c>
      <c r="C364" s="73">
        <v>343</v>
      </c>
    </row>
    <row r="365" spans="1:3" hidden="1">
      <c r="A365" s="119">
        <v>318</v>
      </c>
      <c r="B365" s="71">
        <v>216</v>
      </c>
      <c r="C365" s="73">
        <v>343</v>
      </c>
    </row>
    <row r="366" spans="1:3" hidden="1">
      <c r="A366" s="119">
        <v>319</v>
      </c>
      <c r="B366" s="71">
        <v>216</v>
      </c>
      <c r="C366" s="73">
        <v>343</v>
      </c>
    </row>
    <row r="367" spans="1:3" hidden="1">
      <c r="A367" s="119">
        <v>320</v>
      </c>
      <c r="B367" s="71">
        <v>216</v>
      </c>
      <c r="C367" s="73">
        <v>343</v>
      </c>
    </row>
    <row r="368" spans="1:3" hidden="1">
      <c r="A368" s="119">
        <v>321</v>
      </c>
      <c r="B368" s="71">
        <v>216</v>
      </c>
      <c r="C368" s="73">
        <v>343</v>
      </c>
    </row>
    <row r="369" spans="1:3" hidden="1">
      <c r="A369" s="119">
        <v>322</v>
      </c>
      <c r="B369" s="71">
        <v>216</v>
      </c>
      <c r="C369" s="73">
        <v>343</v>
      </c>
    </row>
    <row r="370" spans="1:3" hidden="1">
      <c r="A370" s="119">
        <v>323</v>
      </c>
      <c r="B370" s="71">
        <v>216</v>
      </c>
      <c r="C370" s="73">
        <v>343</v>
      </c>
    </row>
    <row r="371" spans="1:3" hidden="1">
      <c r="A371" s="119">
        <v>324</v>
      </c>
      <c r="B371" s="71">
        <v>216</v>
      </c>
      <c r="C371" s="73">
        <v>343</v>
      </c>
    </row>
    <row r="372" spans="1:3" hidden="1">
      <c r="A372" s="119">
        <v>325</v>
      </c>
      <c r="B372" s="71">
        <v>216</v>
      </c>
      <c r="C372" s="73">
        <v>343</v>
      </c>
    </row>
    <row r="373" spans="1:3" hidden="1">
      <c r="A373" s="119">
        <v>326</v>
      </c>
      <c r="B373" s="71">
        <v>216</v>
      </c>
      <c r="C373" s="73">
        <v>343</v>
      </c>
    </row>
    <row r="374" spans="1:3" hidden="1">
      <c r="A374" s="119">
        <v>327</v>
      </c>
      <c r="B374" s="71">
        <v>216</v>
      </c>
      <c r="C374" s="73">
        <v>343</v>
      </c>
    </row>
    <row r="375" spans="1:3" hidden="1">
      <c r="A375" s="119">
        <v>328</v>
      </c>
      <c r="B375" s="71">
        <v>216</v>
      </c>
      <c r="C375" s="73">
        <v>343</v>
      </c>
    </row>
    <row r="376" spans="1:3" hidden="1">
      <c r="A376" s="119">
        <v>329</v>
      </c>
      <c r="B376" s="71">
        <v>216</v>
      </c>
      <c r="C376" s="73">
        <v>343</v>
      </c>
    </row>
    <row r="377" spans="1:3" hidden="1">
      <c r="A377" s="119">
        <v>330</v>
      </c>
      <c r="B377" s="71">
        <v>216</v>
      </c>
      <c r="C377" s="73">
        <v>343</v>
      </c>
    </row>
    <row r="378" spans="1:3" hidden="1">
      <c r="A378" s="119">
        <v>331</v>
      </c>
      <c r="B378" s="71">
        <v>216</v>
      </c>
      <c r="C378" s="73">
        <v>343</v>
      </c>
    </row>
    <row r="379" spans="1:3" hidden="1">
      <c r="A379" s="119">
        <v>332</v>
      </c>
      <c r="B379" s="71">
        <v>216</v>
      </c>
      <c r="C379" s="73">
        <v>343</v>
      </c>
    </row>
    <row r="380" spans="1:3" hidden="1">
      <c r="A380" s="119">
        <v>333</v>
      </c>
      <c r="B380" s="71">
        <v>216</v>
      </c>
      <c r="C380" s="73">
        <v>343</v>
      </c>
    </row>
    <row r="381" spans="1:3" hidden="1">
      <c r="A381" s="119">
        <v>334</v>
      </c>
      <c r="B381" s="71">
        <v>216</v>
      </c>
      <c r="C381" s="73">
        <v>343</v>
      </c>
    </row>
    <row r="382" spans="1:3" hidden="1">
      <c r="A382" s="119">
        <v>335</v>
      </c>
      <c r="B382" s="71">
        <v>216</v>
      </c>
      <c r="C382" s="73">
        <v>343</v>
      </c>
    </row>
    <row r="383" spans="1:3" hidden="1">
      <c r="A383" s="119">
        <v>336</v>
      </c>
      <c r="B383" s="71">
        <v>216</v>
      </c>
      <c r="C383" s="73">
        <v>343</v>
      </c>
    </row>
    <row r="384" spans="1:3" hidden="1">
      <c r="A384" s="119">
        <v>337</v>
      </c>
      <c r="B384" s="71">
        <v>216</v>
      </c>
      <c r="C384" s="73">
        <v>343</v>
      </c>
    </row>
    <row r="385" spans="1:3" hidden="1">
      <c r="A385" s="119">
        <v>338</v>
      </c>
      <c r="B385" s="71">
        <v>216</v>
      </c>
      <c r="C385" s="73">
        <v>343</v>
      </c>
    </row>
    <row r="386" spans="1:3" hidden="1">
      <c r="A386" s="119">
        <v>339</v>
      </c>
      <c r="B386" s="71">
        <v>216</v>
      </c>
      <c r="C386" s="73">
        <v>343</v>
      </c>
    </row>
    <row r="387" spans="1:3" hidden="1">
      <c r="A387" s="119">
        <v>340</v>
      </c>
      <c r="B387" s="71">
        <v>216</v>
      </c>
      <c r="C387" s="73">
        <v>343</v>
      </c>
    </row>
    <row r="388" spans="1:3" hidden="1">
      <c r="A388" s="119">
        <v>341</v>
      </c>
      <c r="B388" s="71">
        <v>216</v>
      </c>
      <c r="C388" s="73">
        <v>343</v>
      </c>
    </row>
    <row r="389" spans="1:3" hidden="1">
      <c r="A389" s="119">
        <v>342</v>
      </c>
      <c r="B389" s="71">
        <v>216</v>
      </c>
      <c r="C389" s="73">
        <v>343</v>
      </c>
    </row>
    <row r="390" spans="1:3" hidden="1">
      <c r="A390" s="119">
        <v>343</v>
      </c>
      <c r="B390" s="71">
        <v>343</v>
      </c>
      <c r="C390" s="73">
        <v>512</v>
      </c>
    </row>
    <row r="391" spans="1:3" hidden="1">
      <c r="A391" s="119">
        <v>344</v>
      </c>
      <c r="B391" s="71">
        <v>343</v>
      </c>
      <c r="C391" s="73">
        <v>512</v>
      </c>
    </row>
    <row r="392" spans="1:3" hidden="1">
      <c r="A392" s="119">
        <v>345</v>
      </c>
      <c r="B392" s="71">
        <v>343</v>
      </c>
      <c r="C392" s="73">
        <v>512</v>
      </c>
    </row>
    <row r="393" spans="1:3" hidden="1">
      <c r="A393" s="119">
        <v>346</v>
      </c>
      <c r="B393" s="71">
        <v>343</v>
      </c>
      <c r="C393" s="73">
        <v>512</v>
      </c>
    </row>
    <row r="394" spans="1:3" hidden="1">
      <c r="A394" s="119">
        <v>347</v>
      </c>
      <c r="B394" s="71">
        <v>343</v>
      </c>
      <c r="C394" s="73">
        <v>512</v>
      </c>
    </row>
    <row r="395" spans="1:3" hidden="1">
      <c r="A395" s="119">
        <v>348</v>
      </c>
      <c r="B395" s="71">
        <v>343</v>
      </c>
      <c r="C395" s="73">
        <v>512</v>
      </c>
    </row>
    <row r="396" spans="1:3" hidden="1">
      <c r="A396" s="119">
        <v>349</v>
      </c>
      <c r="B396" s="71">
        <v>343</v>
      </c>
      <c r="C396" s="73">
        <v>512</v>
      </c>
    </row>
    <row r="397" spans="1:3" hidden="1">
      <c r="A397" s="119">
        <v>350</v>
      </c>
      <c r="B397" s="71">
        <v>343</v>
      </c>
      <c r="C397" s="73">
        <v>512</v>
      </c>
    </row>
    <row r="398" spans="1:3" hidden="1">
      <c r="A398" s="119">
        <v>351</v>
      </c>
      <c r="B398" s="71">
        <v>343</v>
      </c>
      <c r="C398" s="73">
        <v>512</v>
      </c>
    </row>
    <row r="399" spans="1:3" hidden="1">
      <c r="A399" s="119">
        <v>352</v>
      </c>
      <c r="B399" s="71">
        <v>343</v>
      </c>
      <c r="C399" s="73">
        <v>512</v>
      </c>
    </row>
    <row r="400" spans="1:3" hidden="1">
      <c r="A400" s="119">
        <v>353</v>
      </c>
      <c r="B400" s="71">
        <v>343</v>
      </c>
      <c r="C400" s="73">
        <v>512</v>
      </c>
    </row>
    <row r="401" spans="1:3" hidden="1">
      <c r="A401" s="119">
        <v>354</v>
      </c>
      <c r="B401" s="71">
        <v>343</v>
      </c>
      <c r="C401" s="73">
        <v>512</v>
      </c>
    </row>
    <row r="402" spans="1:3" hidden="1">
      <c r="A402" s="119">
        <v>355</v>
      </c>
      <c r="B402" s="71">
        <v>343</v>
      </c>
      <c r="C402" s="73">
        <v>512</v>
      </c>
    </row>
    <row r="403" spans="1:3" hidden="1">
      <c r="A403" s="119">
        <v>356</v>
      </c>
      <c r="B403" s="71">
        <v>343</v>
      </c>
      <c r="C403" s="73">
        <v>512</v>
      </c>
    </row>
    <row r="404" spans="1:3" hidden="1">
      <c r="A404" s="119">
        <v>357</v>
      </c>
      <c r="B404" s="71">
        <v>343</v>
      </c>
      <c r="C404" s="73">
        <v>512</v>
      </c>
    </row>
    <row r="405" spans="1:3" hidden="1">
      <c r="A405" s="119">
        <v>358</v>
      </c>
      <c r="B405" s="71">
        <v>343</v>
      </c>
      <c r="C405" s="73">
        <v>512</v>
      </c>
    </row>
    <row r="406" spans="1:3" hidden="1">
      <c r="A406" s="119">
        <v>359</v>
      </c>
      <c r="B406" s="71">
        <v>343</v>
      </c>
      <c r="C406" s="73">
        <v>512</v>
      </c>
    </row>
    <row r="407" spans="1:3" hidden="1">
      <c r="A407" s="119">
        <v>360</v>
      </c>
      <c r="B407" s="71">
        <v>343</v>
      </c>
      <c r="C407" s="73">
        <v>512</v>
      </c>
    </row>
    <row r="408" spans="1:3" hidden="1">
      <c r="A408" s="119">
        <v>361</v>
      </c>
      <c r="B408" s="71">
        <v>343</v>
      </c>
      <c r="C408" s="73">
        <v>512</v>
      </c>
    </row>
    <row r="409" spans="1:3" hidden="1">
      <c r="A409" s="119">
        <v>362</v>
      </c>
      <c r="B409" s="71">
        <v>343</v>
      </c>
      <c r="C409" s="73">
        <v>512</v>
      </c>
    </row>
    <row r="410" spans="1:3" hidden="1">
      <c r="A410" s="119">
        <v>363</v>
      </c>
      <c r="B410" s="71">
        <v>343</v>
      </c>
      <c r="C410" s="73">
        <v>512</v>
      </c>
    </row>
    <row r="411" spans="1:3" hidden="1">
      <c r="A411" s="119">
        <v>364</v>
      </c>
      <c r="B411" s="71">
        <v>343</v>
      </c>
      <c r="C411" s="73">
        <v>512</v>
      </c>
    </row>
    <row r="412" spans="1:3" hidden="1">
      <c r="A412" s="119">
        <v>365</v>
      </c>
      <c r="B412" s="71">
        <v>343</v>
      </c>
      <c r="C412" s="73">
        <v>512</v>
      </c>
    </row>
    <row r="413" spans="1:3" hidden="1">
      <c r="A413" s="119">
        <v>366</v>
      </c>
      <c r="B413" s="71">
        <v>343</v>
      </c>
      <c r="C413" s="73">
        <v>512</v>
      </c>
    </row>
    <row r="414" spans="1:3" hidden="1">
      <c r="A414" s="119">
        <v>367</v>
      </c>
      <c r="B414" s="71">
        <v>343</v>
      </c>
      <c r="C414" s="73">
        <v>512</v>
      </c>
    </row>
    <row r="415" spans="1:3" hidden="1">
      <c r="A415" s="119">
        <v>368</v>
      </c>
      <c r="B415" s="71">
        <v>343</v>
      </c>
      <c r="C415" s="73">
        <v>512</v>
      </c>
    </row>
    <row r="416" spans="1:3" hidden="1">
      <c r="A416" s="119">
        <v>369</v>
      </c>
      <c r="B416" s="71">
        <v>343</v>
      </c>
      <c r="C416" s="73">
        <v>512</v>
      </c>
    </row>
    <row r="417" spans="1:3" hidden="1">
      <c r="A417" s="119">
        <v>370</v>
      </c>
      <c r="B417" s="71">
        <v>343</v>
      </c>
      <c r="C417" s="73">
        <v>512</v>
      </c>
    </row>
    <row r="418" spans="1:3" hidden="1">
      <c r="A418" s="119">
        <v>371</v>
      </c>
      <c r="B418" s="71">
        <v>343</v>
      </c>
      <c r="C418" s="73">
        <v>512</v>
      </c>
    </row>
    <row r="419" spans="1:3" hidden="1">
      <c r="A419" s="119">
        <v>372</v>
      </c>
      <c r="B419" s="71">
        <v>343</v>
      </c>
      <c r="C419" s="73">
        <v>512</v>
      </c>
    </row>
    <row r="420" spans="1:3" hidden="1">
      <c r="A420" s="119">
        <v>373</v>
      </c>
      <c r="B420" s="71">
        <v>343</v>
      </c>
      <c r="C420" s="73">
        <v>512</v>
      </c>
    </row>
    <row r="421" spans="1:3" hidden="1">
      <c r="A421" s="119">
        <v>374</v>
      </c>
      <c r="B421" s="71">
        <v>343</v>
      </c>
      <c r="C421" s="73">
        <v>512</v>
      </c>
    </row>
    <row r="422" spans="1:3" hidden="1">
      <c r="A422" s="119">
        <v>375</v>
      </c>
      <c r="B422" s="71">
        <v>343</v>
      </c>
      <c r="C422" s="73">
        <v>512</v>
      </c>
    </row>
    <row r="423" spans="1:3" hidden="1">
      <c r="A423" s="119">
        <v>376</v>
      </c>
      <c r="B423" s="71">
        <v>343</v>
      </c>
      <c r="C423" s="73">
        <v>512</v>
      </c>
    </row>
    <row r="424" spans="1:3" hidden="1">
      <c r="A424" s="119">
        <v>377</v>
      </c>
      <c r="B424" s="71">
        <v>343</v>
      </c>
      <c r="C424" s="73">
        <v>512</v>
      </c>
    </row>
    <row r="425" spans="1:3" hidden="1">
      <c r="A425" s="119">
        <v>378</v>
      </c>
      <c r="B425" s="71">
        <v>343</v>
      </c>
      <c r="C425" s="73">
        <v>512</v>
      </c>
    </row>
    <row r="426" spans="1:3" hidden="1">
      <c r="A426" s="119">
        <v>379</v>
      </c>
      <c r="B426" s="71">
        <v>343</v>
      </c>
      <c r="C426" s="73">
        <v>512</v>
      </c>
    </row>
    <row r="427" spans="1:3" hidden="1">
      <c r="A427" s="119">
        <v>380</v>
      </c>
      <c r="B427" s="71">
        <v>343</v>
      </c>
      <c r="C427" s="73">
        <v>512</v>
      </c>
    </row>
    <row r="428" spans="1:3" hidden="1">
      <c r="A428" s="119">
        <v>381</v>
      </c>
      <c r="B428" s="71">
        <v>343</v>
      </c>
      <c r="C428" s="73">
        <v>512</v>
      </c>
    </row>
    <row r="429" spans="1:3" hidden="1">
      <c r="A429" s="119">
        <v>382</v>
      </c>
      <c r="B429" s="71">
        <v>343</v>
      </c>
      <c r="C429" s="73">
        <v>512</v>
      </c>
    </row>
    <row r="430" spans="1:3" hidden="1">
      <c r="A430" s="119">
        <v>383</v>
      </c>
      <c r="B430" s="71">
        <v>343</v>
      </c>
      <c r="C430" s="73">
        <v>512</v>
      </c>
    </row>
    <row r="431" spans="1:3" hidden="1">
      <c r="A431" s="119">
        <v>384</v>
      </c>
      <c r="B431" s="71">
        <v>343</v>
      </c>
      <c r="C431" s="73">
        <v>512</v>
      </c>
    </row>
    <row r="432" spans="1:3" hidden="1">
      <c r="A432" s="119">
        <v>385</v>
      </c>
      <c r="B432" s="71">
        <v>343</v>
      </c>
      <c r="C432" s="73">
        <v>512</v>
      </c>
    </row>
    <row r="433" spans="1:3" hidden="1">
      <c r="A433" s="119">
        <v>386</v>
      </c>
      <c r="B433" s="71">
        <v>343</v>
      </c>
      <c r="C433" s="73">
        <v>512</v>
      </c>
    </row>
    <row r="434" spans="1:3" hidden="1">
      <c r="A434" s="119">
        <v>387</v>
      </c>
      <c r="B434" s="71">
        <v>343</v>
      </c>
      <c r="C434" s="73">
        <v>512</v>
      </c>
    </row>
    <row r="435" spans="1:3" hidden="1">
      <c r="A435" s="119">
        <v>388</v>
      </c>
      <c r="B435" s="71">
        <v>343</v>
      </c>
      <c r="C435" s="73">
        <v>512</v>
      </c>
    </row>
    <row r="436" spans="1:3" hidden="1">
      <c r="A436" s="119">
        <v>389</v>
      </c>
      <c r="B436" s="71">
        <v>343</v>
      </c>
      <c r="C436" s="73">
        <v>512</v>
      </c>
    </row>
    <row r="437" spans="1:3" hidden="1">
      <c r="A437" s="119">
        <v>390</v>
      </c>
      <c r="B437" s="71">
        <v>343</v>
      </c>
      <c r="C437" s="73">
        <v>512</v>
      </c>
    </row>
    <row r="438" spans="1:3" hidden="1">
      <c r="A438" s="119">
        <v>391</v>
      </c>
      <c r="B438" s="71">
        <v>343</v>
      </c>
      <c r="C438" s="73">
        <v>512</v>
      </c>
    </row>
    <row r="439" spans="1:3" hidden="1">
      <c r="A439" s="119">
        <v>392</v>
      </c>
      <c r="B439" s="71">
        <v>343</v>
      </c>
      <c r="C439" s="73">
        <v>512</v>
      </c>
    </row>
    <row r="440" spans="1:3" hidden="1">
      <c r="A440" s="119">
        <v>393</v>
      </c>
      <c r="B440" s="71">
        <v>343</v>
      </c>
      <c r="C440" s="73">
        <v>512</v>
      </c>
    </row>
    <row r="441" spans="1:3" hidden="1">
      <c r="A441" s="119">
        <v>394</v>
      </c>
      <c r="B441" s="71">
        <v>343</v>
      </c>
      <c r="C441" s="73">
        <v>512</v>
      </c>
    </row>
    <row r="442" spans="1:3" hidden="1">
      <c r="A442" s="119">
        <v>395</v>
      </c>
      <c r="B442" s="71">
        <v>343</v>
      </c>
      <c r="C442" s="73">
        <v>512</v>
      </c>
    </row>
    <row r="443" spans="1:3" hidden="1">
      <c r="A443" s="119">
        <v>396</v>
      </c>
      <c r="B443" s="71">
        <v>343</v>
      </c>
      <c r="C443" s="73">
        <v>512</v>
      </c>
    </row>
    <row r="444" spans="1:3" hidden="1">
      <c r="A444" s="119">
        <v>397</v>
      </c>
      <c r="B444" s="71">
        <v>343</v>
      </c>
      <c r="C444" s="73">
        <v>512</v>
      </c>
    </row>
    <row r="445" spans="1:3" hidden="1">
      <c r="A445" s="119">
        <v>398</v>
      </c>
      <c r="B445" s="71">
        <v>343</v>
      </c>
      <c r="C445" s="73">
        <v>512</v>
      </c>
    </row>
    <row r="446" spans="1:3" hidden="1">
      <c r="A446" s="119">
        <v>399</v>
      </c>
      <c r="B446" s="71">
        <v>343</v>
      </c>
      <c r="C446" s="73">
        <v>512</v>
      </c>
    </row>
    <row r="447" spans="1:3" hidden="1">
      <c r="A447" s="119">
        <v>400</v>
      </c>
      <c r="B447" s="71">
        <v>343</v>
      </c>
      <c r="C447" s="73">
        <v>512</v>
      </c>
    </row>
    <row r="448" spans="1:3" hidden="1">
      <c r="A448" s="119">
        <v>401</v>
      </c>
      <c r="B448" s="71">
        <v>343</v>
      </c>
      <c r="C448" s="73">
        <v>512</v>
      </c>
    </row>
    <row r="449" spans="1:3" hidden="1">
      <c r="A449" s="119">
        <v>402</v>
      </c>
      <c r="B449" s="71">
        <v>343</v>
      </c>
      <c r="C449" s="73">
        <v>512</v>
      </c>
    </row>
    <row r="450" spans="1:3" hidden="1">
      <c r="A450" s="119">
        <v>403</v>
      </c>
      <c r="B450" s="71">
        <v>343</v>
      </c>
      <c r="C450" s="73">
        <v>512</v>
      </c>
    </row>
    <row r="451" spans="1:3" hidden="1">
      <c r="A451" s="119">
        <v>404</v>
      </c>
      <c r="B451" s="71">
        <v>343</v>
      </c>
      <c r="C451" s="73">
        <v>512</v>
      </c>
    </row>
    <row r="452" spans="1:3" hidden="1">
      <c r="A452" s="119">
        <v>405</v>
      </c>
      <c r="B452" s="71">
        <v>343</v>
      </c>
      <c r="C452" s="73">
        <v>512</v>
      </c>
    </row>
    <row r="453" spans="1:3" hidden="1">
      <c r="A453" s="119">
        <v>406</v>
      </c>
      <c r="B453" s="71">
        <v>343</v>
      </c>
      <c r="C453" s="73">
        <v>512</v>
      </c>
    </row>
    <row r="454" spans="1:3" hidden="1">
      <c r="A454" s="119">
        <v>407</v>
      </c>
      <c r="B454" s="71">
        <v>343</v>
      </c>
      <c r="C454" s="73">
        <v>512</v>
      </c>
    </row>
    <row r="455" spans="1:3" hidden="1">
      <c r="A455" s="119">
        <v>408</v>
      </c>
      <c r="B455" s="71">
        <v>343</v>
      </c>
      <c r="C455" s="73">
        <v>512</v>
      </c>
    </row>
    <row r="456" spans="1:3" hidden="1">
      <c r="A456" s="119">
        <v>409</v>
      </c>
      <c r="B456" s="71">
        <v>343</v>
      </c>
      <c r="C456" s="73">
        <v>512</v>
      </c>
    </row>
    <row r="457" spans="1:3" hidden="1">
      <c r="A457" s="119">
        <v>410</v>
      </c>
      <c r="B457" s="71">
        <v>343</v>
      </c>
      <c r="C457" s="73">
        <v>512</v>
      </c>
    </row>
    <row r="458" spans="1:3" hidden="1">
      <c r="A458" s="119">
        <v>411</v>
      </c>
      <c r="B458" s="71">
        <v>343</v>
      </c>
      <c r="C458" s="73">
        <v>512</v>
      </c>
    </row>
    <row r="459" spans="1:3" hidden="1">
      <c r="A459" s="119">
        <v>412</v>
      </c>
      <c r="B459" s="71">
        <v>343</v>
      </c>
      <c r="C459" s="73">
        <v>512</v>
      </c>
    </row>
    <row r="460" spans="1:3" hidden="1">
      <c r="A460" s="119">
        <v>413</v>
      </c>
      <c r="B460" s="71">
        <v>343</v>
      </c>
      <c r="C460" s="73">
        <v>512</v>
      </c>
    </row>
    <row r="461" spans="1:3" hidden="1">
      <c r="A461" s="119">
        <v>414</v>
      </c>
      <c r="B461" s="71">
        <v>343</v>
      </c>
      <c r="C461" s="73">
        <v>512</v>
      </c>
    </row>
    <row r="462" spans="1:3" hidden="1">
      <c r="A462" s="119">
        <v>415</v>
      </c>
      <c r="B462" s="71">
        <v>343</v>
      </c>
      <c r="C462" s="73">
        <v>512</v>
      </c>
    </row>
    <row r="463" spans="1:3" hidden="1">
      <c r="A463" s="119">
        <v>416</v>
      </c>
      <c r="B463" s="71">
        <v>343</v>
      </c>
      <c r="C463" s="73">
        <v>512</v>
      </c>
    </row>
    <row r="464" spans="1:3" hidden="1">
      <c r="A464" s="119">
        <v>417</v>
      </c>
      <c r="B464" s="71">
        <v>343</v>
      </c>
      <c r="C464" s="73">
        <v>512</v>
      </c>
    </row>
    <row r="465" spans="1:3" hidden="1">
      <c r="A465" s="119">
        <v>418</v>
      </c>
      <c r="B465" s="71">
        <v>343</v>
      </c>
      <c r="C465" s="73">
        <v>512</v>
      </c>
    </row>
    <row r="466" spans="1:3" hidden="1">
      <c r="A466" s="119">
        <v>419</v>
      </c>
      <c r="B466" s="71">
        <v>343</v>
      </c>
      <c r="C466" s="73">
        <v>512</v>
      </c>
    </row>
    <row r="467" spans="1:3" hidden="1">
      <c r="A467" s="119">
        <v>420</v>
      </c>
      <c r="B467" s="71">
        <v>343</v>
      </c>
      <c r="C467" s="73">
        <v>512</v>
      </c>
    </row>
    <row r="468" spans="1:3" hidden="1">
      <c r="A468" s="119">
        <v>421</v>
      </c>
      <c r="B468" s="71">
        <v>343</v>
      </c>
      <c r="C468" s="73">
        <v>512</v>
      </c>
    </row>
    <row r="469" spans="1:3" hidden="1">
      <c r="A469" s="119">
        <v>422</v>
      </c>
      <c r="B469" s="71">
        <v>343</v>
      </c>
      <c r="C469" s="73">
        <v>512</v>
      </c>
    </row>
    <row r="470" spans="1:3" hidden="1">
      <c r="A470" s="119">
        <v>423</v>
      </c>
      <c r="B470" s="71">
        <v>343</v>
      </c>
      <c r="C470" s="73">
        <v>512</v>
      </c>
    </row>
    <row r="471" spans="1:3" hidden="1">
      <c r="A471" s="119">
        <v>424</v>
      </c>
      <c r="B471" s="71">
        <v>343</v>
      </c>
      <c r="C471" s="73">
        <v>512</v>
      </c>
    </row>
    <row r="472" spans="1:3" hidden="1">
      <c r="A472" s="119">
        <v>425</v>
      </c>
      <c r="B472" s="71">
        <v>343</v>
      </c>
      <c r="C472" s="73">
        <v>512</v>
      </c>
    </row>
    <row r="473" spans="1:3" hidden="1">
      <c r="A473" s="119">
        <v>426</v>
      </c>
      <c r="B473" s="71">
        <v>343</v>
      </c>
      <c r="C473" s="73">
        <v>512</v>
      </c>
    </row>
    <row r="474" spans="1:3" hidden="1">
      <c r="A474" s="119">
        <v>427</v>
      </c>
      <c r="B474" s="71">
        <v>343</v>
      </c>
      <c r="C474" s="73">
        <v>512</v>
      </c>
    </row>
    <row r="475" spans="1:3" hidden="1">
      <c r="A475" s="119">
        <v>428</v>
      </c>
      <c r="B475" s="71">
        <v>343</v>
      </c>
      <c r="C475" s="73">
        <v>512</v>
      </c>
    </row>
    <row r="476" spans="1:3" hidden="1">
      <c r="A476" s="119">
        <v>429</v>
      </c>
      <c r="B476" s="71">
        <v>343</v>
      </c>
      <c r="C476" s="73">
        <v>512</v>
      </c>
    </row>
    <row r="477" spans="1:3" hidden="1">
      <c r="A477" s="119">
        <v>430</v>
      </c>
      <c r="B477" s="71">
        <v>343</v>
      </c>
      <c r="C477" s="73">
        <v>512</v>
      </c>
    </row>
    <row r="478" spans="1:3" hidden="1">
      <c r="A478" s="119">
        <v>431</v>
      </c>
      <c r="B478" s="71">
        <v>343</v>
      </c>
      <c r="C478" s="73">
        <v>512</v>
      </c>
    </row>
    <row r="479" spans="1:3" hidden="1">
      <c r="A479" s="119">
        <v>432</v>
      </c>
      <c r="B479" s="71">
        <v>343</v>
      </c>
      <c r="C479" s="73">
        <v>512</v>
      </c>
    </row>
    <row r="480" spans="1:3" hidden="1">
      <c r="A480" s="119">
        <v>433</v>
      </c>
      <c r="B480" s="71">
        <v>343</v>
      </c>
      <c r="C480" s="73">
        <v>512</v>
      </c>
    </row>
    <row r="481" spans="1:3" hidden="1">
      <c r="A481" s="119">
        <v>434</v>
      </c>
      <c r="B481" s="71">
        <v>343</v>
      </c>
      <c r="C481" s="73">
        <v>512</v>
      </c>
    </row>
    <row r="482" spans="1:3" hidden="1">
      <c r="A482" s="119">
        <v>435</v>
      </c>
      <c r="B482" s="71">
        <v>343</v>
      </c>
      <c r="C482" s="73">
        <v>512</v>
      </c>
    </row>
    <row r="483" spans="1:3" hidden="1">
      <c r="A483" s="119">
        <v>436</v>
      </c>
      <c r="B483" s="71">
        <v>343</v>
      </c>
      <c r="C483" s="73">
        <v>512</v>
      </c>
    </row>
    <row r="484" spans="1:3" hidden="1">
      <c r="A484" s="119">
        <v>437</v>
      </c>
      <c r="B484" s="71">
        <v>343</v>
      </c>
      <c r="C484" s="73">
        <v>512</v>
      </c>
    </row>
    <row r="485" spans="1:3" hidden="1">
      <c r="A485" s="119">
        <v>438</v>
      </c>
      <c r="B485" s="71">
        <v>343</v>
      </c>
      <c r="C485" s="73">
        <v>512</v>
      </c>
    </row>
    <row r="486" spans="1:3" hidden="1">
      <c r="A486" s="119">
        <v>439</v>
      </c>
      <c r="B486" s="71">
        <v>343</v>
      </c>
      <c r="C486" s="73">
        <v>512</v>
      </c>
    </row>
    <row r="487" spans="1:3" hidden="1">
      <c r="A487" s="119">
        <v>440</v>
      </c>
      <c r="B487" s="71">
        <v>343</v>
      </c>
      <c r="C487" s="73">
        <v>512</v>
      </c>
    </row>
    <row r="488" spans="1:3" hidden="1">
      <c r="A488" s="119">
        <v>441</v>
      </c>
      <c r="B488" s="71">
        <v>343</v>
      </c>
      <c r="C488" s="73">
        <v>512</v>
      </c>
    </row>
    <row r="489" spans="1:3" hidden="1">
      <c r="A489" s="119">
        <v>442</v>
      </c>
      <c r="B489" s="71">
        <v>343</v>
      </c>
      <c r="C489" s="73">
        <v>512</v>
      </c>
    </row>
    <row r="490" spans="1:3" hidden="1">
      <c r="A490" s="119">
        <v>443</v>
      </c>
      <c r="B490" s="71">
        <v>343</v>
      </c>
      <c r="C490" s="73">
        <v>512</v>
      </c>
    </row>
    <row r="491" spans="1:3" hidden="1">
      <c r="A491" s="119">
        <v>444</v>
      </c>
      <c r="B491" s="71">
        <v>343</v>
      </c>
      <c r="C491" s="73">
        <v>512</v>
      </c>
    </row>
    <row r="492" spans="1:3" hidden="1">
      <c r="A492" s="119">
        <v>445</v>
      </c>
      <c r="B492" s="71">
        <v>343</v>
      </c>
      <c r="C492" s="73">
        <v>512</v>
      </c>
    </row>
    <row r="493" spans="1:3" hidden="1">
      <c r="A493" s="119">
        <v>446</v>
      </c>
      <c r="B493" s="71">
        <v>343</v>
      </c>
      <c r="C493" s="73">
        <v>512</v>
      </c>
    </row>
    <row r="494" spans="1:3" hidden="1">
      <c r="A494" s="119">
        <v>447</v>
      </c>
      <c r="B494" s="71">
        <v>343</v>
      </c>
      <c r="C494" s="73">
        <v>512</v>
      </c>
    </row>
    <row r="495" spans="1:3" hidden="1">
      <c r="A495" s="119">
        <v>448</v>
      </c>
      <c r="B495" s="71">
        <v>343</v>
      </c>
      <c r="C495" s="73">
        <v>512</v>
      </c>
    </row>
    <row r="496" spans="1:3" hidden="1">
      <c r="A496" s="119">
        <v>449</v>
      </c>
      <c r="B496" s="71">
        <v>343</v>
      </c>
      <c r="C496" s="73">
        <v>512</v>
      </c>
    </row>
    <row r="497" spans="1:3" hidden="1">
      <c r="A497" s="119">
        <v>450</v>
      </c>
      <c r="B497" s="71">
        <v>343</v>
      </c>
      <c r="C497" s="73">
        <v>512</v>
      </c>
    </row>
    <row r="498" spans="1:3" hidden="1">
      <c r="A498" s="119">
        <v>451</v>
      </c>
      <c r="B498" s="71">
        <v>343</v>
      </c>
      <c r="C498" s="73">
        <v>512</v>
      </c>
    </row>
    <row r="499" spans="1:3" hidden="1">
      <c r="A499" s="119">
        <v>452</v>
      </c>
      <c r="B499" s="71">
        <v>343</v>
      </c>
      <c r="C499" s="73">
        <v>512</v>
      </c>
    </row>
    <row r="500" spans="1:3" hidden="1">
      <c r="A500" s="119">
        <v>453</v>
      </c>
      <c r="B500" s="71">
        <v>343</v>
      </c>
      <c r="C500" s="73">
        <v>512</v>
      </c>
    </row>
    <row r="501" spans="1:3" hidden="1">
      <c r="A501" s="119">
        <v>454</v>
      </c>
      <c r="B501" s="71">
        <v>343</v>
      </c>
      <c r="C501" s="73">
        <v>512</v>
      </c>
    </row>
    <row r="502" spans="1:3" hidden="1">
      <c r="A502" s="119">
        <v>455</v>
      </c>
      <c r="B502" s="71">
        <v>343</v>
      </c>
      <c r="C502" s="73">
        <v>512</v>
      </c>
    </row>
    <row r="503" spans="1:3" hidden="1">
      <c r="A503" s="119">
        <v>456</v>
      </c>
      <c r="B503" s="71">
        <v>343</v>
      </c>
      <c r="C503" s="73">
        <v>512</v>
      </c>
    </row>
    <row r="504" spans="1:3" hidden="1">
      <c r="A504" s="119">
        <v>457</v>
      </c>
      <c r="B504" s="71">
        <v>343</v>
      </c>
      <c r="C504" s="73">
        <v>512</v>
      </c>
    </row>
    <row r="505" spans="1:3" hidden="1">
      <c r="A505" s="119">
        <v>458</v>
      </c>
      <c r="B505" s="71">
        <v>343</v>
      </c>
      <c r="C505" s="73">
        <v>512</v>
      </c>
    </row>
    <row r="506" spans="1:3" hidden="1">
      <c r="A506" s="119">
        <v>459</v>
      </c>
      <c r="B506" s="71">
        <v>343</v>
      </c>
      <c r="C506" s="73">
        <v>512</v>
      </c>
    </row>
    <row r="507" spans="1:3" hidden="1">
      <c r="A507" s="119">
        <v>460</v>
      </c>
      <c r="B507" s="71">
        <v>343</v>
      </c>
      <c r="C507" s="73">
        <v>512</v>
      </c>
    </row>
    <row r="508" spans="1:3" hidden="1">
      <c r="A508" s="119">
        <v>461</v>
      </c>
      <c r="B508" s="71">
        <v>343</v>
      </c>
      <c r="C508" s="73">
        <v>512</v>
      </c>
    </row>
    <row r="509" spans="1:3" hidden="1">
      <c r="A509" s="119">
        <v>462</v>
      </c>
      <c r="B509" s="71">
        <v>343</v>
      </c>
      <c r="C509" s="73">
        <v>512</v>
      </c>
    </row>
    <row r="510" spans="1:3" hidden="1">
      <c r="A510" s="119">
        <v>463</v>
      </c>
      <c r="B510" s="71">
        <v>343</v>
      </c>
      <c r="C510" s="73">
        <v>512</v>
      </c>
    </row>
    <row r="511" spans="1:3" hidden="1">
      <c r="A511" s="119">
        <v>464</v>
      </c>
      <c r="B511" s="71">
        <v>343</v>
      </c>
      <c r="C511" s="73">
        <v>512</v>
      </c>
    </row>
    <row r="512" spans="1:3" hidden="1">
      <c r="A512" s="119">
        <v>465</v>
      </c>
      <c r="B512" s="71">
        <v>343</v>
      </c>
      <c r="C512" s="73">
        <v>512</v>
      </c>
    </row>
    <row r="513" spans="1:3" hidden="1">
      <c r="A513" s="119">
        <v>466</v>
      </c>
      <c r="B513" s="71">
        <v>343</v>
      </c>
      <c r="C513" s="73">
        <v>512</v>
      </c>
    </row>
    <row r="514" spans="1:3" hidden="1">
      <c r="A514" s="119">
        <v>467</v>
      </c>
      <c r="B514" s="71">
        <v>343</v>
      </c>
      <c r="C514" s="73">
        <v>512</v>
      </c>
    </row>
    <row r="515" spans="1:3" hidden="1">
      <c r="A515" s="119">
        <v>468</v>
      </c>
      <c r="B515" s="71">
        <v>343</v>
      </c>
      <c r="C515" s="73">
        <v>512</v>
      </c>
    </row>
    <row r="516" spans="1:3" hidden="1">
      <c r="A516" s="119">
        <v>469</v>
      </c>
      <c r="B516" s="71">
        <v>343</v>
      </c>
      <c r="C516" s="73">
        <v>512</v>
      </c>
    </row>
    <row r="517" spans="1:3" hidden="1">
      <c r="A517" s="119">
        <v>470</v>
      </c>
      <c r="B517" s="71">
        <v>343</v>
      </c>
      <c r="C517" s="73">
        <v>512</v>
      </c>
    </row>
    <row r="518" spans="1:3" hidden="1">
      <c r="A518" s="119">
        <v>471</v>
      </c>
      <c r="B518" s="71">
        <v>343</v>
      </c>
      <c r="C518" s="73">
        <v>512</v>
      </c>
    </row>
    <row r="519" spans="1:3" hidden="1">
      <c r="A519" s="119">
        <v>472</v>
      </c>
      <c r="B519" s="71">
        <v>343</v>
      </c>
      <c r="C519" s="73">
        <v>512</v>
      </c>
    </row>
    <row r="520" spans="1:3" hidden="1">
      <c r="A520" s="119">
        <v>473</v>
      </c>
      <c r="B520" s="71">
        <v>343</v>
      </c>
      <c r="C520" s="73">
        <v>512</v>
      </c>
    </row>
    <row r="521" spans="1:3" hidden="1">
      <c r="A521" s="119">
        <v>474</v>
      </c>
      <c r="B521" s="71">
        <v>343</v>
      </c>
      <c r="C521" s="73">
        <v>512</v>
      </c>
    </row>
    <row r="522" spans="1:3" hidden="1">
      <c r="A522" s="119">
        <v>475</v>
      </c>
      <c r="B522" s="71">
        <v>343</v>
      </c>
      <c r="C522" s="73">
        <v>512</v>
      </c>
    </row>
    <row r="523" spans="1:3" hidden="1">
      <c r="A523" s="119">
        <v>476</v>
      </c>
      <c r="B523" s="71">
        <v>343</v>
      </c>
      <c r="C523" s="73">
        <v>512</v>
      </c>
    </row>
    <row r="524" spans="1:3" hidden="1">
      <c r="A524" s="119">
        <v>477</v>
      </c>
      <c r="B524" s="71">
        <v>343</v>
      </c>
      <c r="C524" s="73">
        <v>512</v>
      </c>
    </row>
    <row r="525" spans="1:3" hidden="1">
      <c r="A525" s="119">
        <v>478</v>
      </c>
      <c r="B525" s="71">
        <v>343</v>
      </c>
      <c r="C525" s="73">
        <v>512</v>
      </c>
    </row>
    <row r="526" spans="1:3" hidden="1">
      <c r="A526" s="119">
        <v>479</v>
      </c>
      <c r="B526" s="71">
        <v>343</v>
      </c>
      <c r="C526" s="73">
        <v>512</v>
      </c>
    </row>
    <row r="527" spans="1:3" hidden="1">
      <c r="A527" s="119">
        <v>480</v>
      </c>
      <c r="B527" s="71">
        <v>343</v>
      </c>
      <c r="C527" s="73">
        <v>512</v>
      </c>
    </row>
    <row r="528" spans="1:3" hidden="1">
      <c r="A528" s="119">
        <v>481</v>
      </c>
      <c r="B528" s="71">
        <v>343</v>
      </c>
      <c r="C528" s="73">
        <v>512</v>
      </c>
    </row>
    <row r="529" spans="1:3" hidden="1">
      <c r="A529" s="119">
        <v>482</v>
      </c>
      <c r="B529" s="71">
        <v>343</v>
      </c>
      <c r="C529" s="73">
        <v>512</v>
      </c>
    </row>
    <row r="530" spans="1:3" hidden="1">
      <c r="A530" s="119">
        <v>483</v>
      </c>
      <c r="B530" s="71">
        <v>343</v>
      </c>
      <c r="C530" s="73">
        <v>512</v>
      </c>
    </row>
    <row r="531" spans="1:3" hidden="1">
      <c r="A531" s="119">
        <v>484</v>
      </c>
      <c r="B531" s="71">
        <v>343</v>
      </c>
      <c r="C531" s="73">
        <v>512</v>
      </c>
    </row>
    <row r="532" spans="1:3" hidden="1">
      <c r="A532" s="119">
        <v>485</v>
      </c>
      <c r="B532" s="71">
        <v>343</v>
      </c>
      <c r="C532" s="73">
        <v>512</v>
      </c>
    </row>
    <row r="533" spans="1:3" hidden="1">
      <c r="A533" s="119">
        <v>486</v>
      </c>
      <c r="B533" s="71">
        <v>343</v>
      </c>
      <c r="C533" s="73">
        <v>512</v>
      </c>
    </row>
    <row r="534" spans="1:3" hidden="1">
      <c r="A534" s="119">
        <v>487</v>
      </c>
      <c r="B534" s="71">
        <v>343</v>
      </c>
      <c r="C534" s="73">
        <v>512</v>
      </c>
    </row>
    <row r="535" spans="1:3" hidden="1">
      <c r="A535" s="119">
        <v>488</v>
      </c>
      <c r="B535" s="71">
        <v>343</v>
      </c>
      <c r="C535" s="73">
        <v>512</v>
      </c>
    </row>
    <row r="536" spans="1:3" hidden="1">
      <c r="A536" s="119">
        <v>489</v>
      </c>
      <c r="B536" s="71">
        <v>343</v>
      </c>
      <c r="C536" s="73">
        <v>512</v>
      </c>
    </row>
    <row r="537" spans="1:3" hidden="1">
      <c r="A537" s="119">
        <v>490</v>
      </c>
      <c r="B537" s="71">
        <v>343</v>
      </c>
      <c r="C537" s="73">
        <v>512</v>
      </c>
    </row>
    <row r="538" spans="1:3" hidden="1">
      <c r="A538" s="119">
        <v>491</v>
      </c>
      <c r="B538" s="71">
        <v>343</v>
      </c>
      <c r="C538" s="73">
        <v>512</v>
      </c>
    </row>
    <row r="539" spans="1:3" hidden="1">
      <c r="A539" s="119">
        <v>492</v>
      </c>
      <c r="B539" s="71">
        <v>343</v>
      </c>
      <c r="C539" s="73">
        <v>512</v>
      </c>
    </row>
    <row r="540" spans="1:3" hidden="1">
      <c r="A540" s="119">
        <v>493</v>
      </c>
      <c r="B540" s="71">
        <v>343</v>
      </c>
      <c r="C540" s="73">
        <v>512</v>
      </c>
    </row>
    <row r="541" spans="1:3" hidden="1">
      <c r="A541" s="119">
        <v>494</v>
      </c>
      <c r="B541" s="71">
        <v>343</v>
      </c>
      <c r="C541" s="73">
        <v>512</v>
      </c>
    </row>
    <row r="542" spans="1:3" hidden="1">
      <c r="A542" s="119">
        <v>495</v>
      </c>
      <c r="B542" s="71">
        <v>343</v>
      </c>
      <c r="C542" s="73">
        <v>512</v>
      </c>
    </row>
    <row r="543" spans="1:3" hidden="1">
      <c r="A543" s="119">
        <v>496</v>
      </c>
      <c r="B543" s="71">
        <v>343</v>
      </c>
      <c r="C543" s="73">
        <v>512</v>
      </c>
    </row>
    <row r="544" spans="1:3" hidden="1">
      <c r="A544" s="119">
        <v>497</v>
      </c>
      <c r="B544" s="71">
        <v>343</v>
      </c>
      <c r="C544" s="73">
        <v>512</v>
      </c>
    </row>
    <row r="545" spans="1:3" hidden="1">
      <c r="A545" s="119">
        <v>498</v>
      </c>
      <c r="B545" s="71">
        <v>343</v>
      </c>
      <c r="C545" s="73">
        <v>512</v>
      </c>
    </row>
    <row r="546" spans="1:3" hidden="1">
      <c r="A546" s="119">
        <v>499</v>
      </c>
      <c r="B546" s="71">
        <v>343</v>
      </c>
      <c r="C546" s="73">
        <v>512</v>
      </c>
    </row>
    <row r="547" spans="1:3" hidden="1">
      <c r="A547" s="119">
        <v>500</v>
      </c>
      <c r="B547" s="71">
        <v>343</v>
      </c>
      <c r="C547" s="73">
        <v>512</v>
      </c>
    </row>
    <row r="548" spans="1:3" hidden="1">
      <c r="A548" s="119">
        <v>501</v>
      </c>
      <c r="B548" s="71">
        <v>343</v>
      </c>
      <c r="C548" s="73">
        <v>512</v>
      </c>
    </row>
    <row r="549" spans="1:3" hidden="1">
      <c r="A549" s="119">
        <v>502</v>
      </c>
      <c r="B549" s="71">
        <v>343</v>
      </c>
      <c r="C549" s="73">
        <v>512</v>
      </c>
    </row>
    <row r="550" spans="1:3" hidden="1">
      <c r="A550" s="119">
        <v>503</v>
      </c>
      <c r="B550" s="71">
        <v>343</v>
      </c>
      <c r="C550" s="73">
        <v>512</v>
      </c>
    </row>
    <row r="551" spans="1:3" hidden="1">
      <c r="A551" s="119">
        <v>504</v>
      </c>
      <c r="B551" s="71">
        <v>343</v>
      </c>
      <c r="C551" s="73">
        <v>512</v>
      </c>
    </row>
    <row r="552" spans="1:3" hidden="1">
      <c r="A552" s="119">
        <v>505</v>
      </c>
      <c r="B552" s="71">
        <v>343</v>
      </c>
      <c r="C552" s="73">
        <v>512</v>
      </c>
    </row>
    <row r="553" spans="1:3" hidden="1">
      <c r="A553" s="119">
        <v>506</v>
      </c>
      <c r="B553" s="71">
        <v>343</v>
      </c>
      <c r="C553" s="73">
        <v>512</v>
      </c>
    </row>
    <row r="554" spans="1:3" hidden="1">
      <c r="A554" s="119">
        <v>507</v>
      </c>
      <c r="B554" s="71">
        <v>343</v>
      </c>
      <c r="C554" s="73">
        <v>512</v>
      </c>
    </row>
    <row r="555" spans="1:3" hidden="1">
      <c r="A555" s="119">
        <v>508</v>
      </c>
      <c r="B555" s="71">
        <v>343</v>
      </c>
      <c r="C555" s="73">
        <v>512</v>
      </c>
    </row>
    <row r="556" spans="1:3" hidden="1">
      <c r="A556" s="119">
        <v>509</v>
      </c>
      <c r="B556" s="71">
        <v>343</v>
      </c>
      <c r="C556" s="73">
        <v>512</v>
      </c>
    </row>
    <row r="557" spans="1:3" hidden="1">
      <c r="A557" s="119">
        <v>510</v>
      </c>
      <c r="B557" s="71">
        <v>343</v>
      </c>
      <c r="C557" s="73">
        <v>512</v>
      </c>
    </row>
    <row r="558" spans="1:3" hidden="1">
      <c r="A558" s="119">
        <v>511</v>
      </c>
      <c r="B558" s="71">
        <v>343</v>
      </c>
      <c r="C558" s="73">
        <v>512</v>
      </c>
    </row>
    <row r="559" spans="1:3" hidden="1">
      <c r="A559" s="119">
        <v>512</v>
      </c>
      <c r="B559" s="71">
        <v>512</v>
      </c>
      <c r="C559" s="73">
        <v>729</v>
      </c>
    </row>
    <row r="560" spans="1:3" hidden="1">
      <c r="A560" s="119">
        <v>513</v>
      </c>
      <c r="B560" s="71">
        <v>512</v>
      </c>
      <c r="C560" s="73">
        <v>729</v>
      </c>
    </row>
    <row r="561" spans="1:3" hidden="1">
      <c r="A561" s="119">
        <v>514</v>
      </c>
      <c r="B561" s="71">
        <v>512</v>
      </c>
      <c r="C561" s="73">
        <v>729</v>
      </c>
    </row>
    <row r="562" spans="1:3" hidden="1">
      <c r="A562" s="119">
        <v>515</v>
      </c>
      <c r="B562" s="71">
        <v>512</v>
      </c>
      <c r="C562" s="73">
        <v>729</v>
      </c>
    </row>
    <row r="563" spans="1:3" hidden="1">
      <c r="A563" s="119">
        <v>516</v>
      </c>
      <c r="B563" s="71">
        <v>512</v>
      </c>
      <c r="C563" s="73">
        <v>729</v>
      </c>
    </row>
    <row r="564" spans="1:3" hidden="1">
      <c r="A564" s="119">
        <v>517</v>
      </c>
      <c r="B564" s="71">
        <v>512</v>
      </c>
      <c r="C564" s="73">
        <v>729</v>
      </c>
    </row>
    <row r="565" spans="1:3" hidden="1">
      <c r="A565" s="119">
        <v>518</v>
      </c>
      <c r="B565" s="71">
        <v>512</v>
      </c>
      <c r="C565" s="73">
        <v>729</v>
      </c>
    </row>
    <row r="566" spans="1:3" hidden="1">
      <c r="A566" s="119">
        <v>519</v>
      </c>
      <c r="B566" s="71">
        <v>512</v>
      </c>
      <c r="C566" s="73">
        <v>729</v>
      </c>
    </row>
    <row r="567" spans="1:3" hidden="1">
      <c r="A567" s="119">
        <v>520</v>
      </c>
      <c r="B567" s="71">
        <v>512</v>
      </c>
      <c r="C567" s="73">
        <v>729</v>
      </c>
    </row>
    <row r="568" spans="1:3" hidden="1">
      <c r="A568" s="119">
        <v>521</v>
      </c>
      <c r="B568" s="71">
        <v>512</v>
      </c>
      <c r="C568" s="73">
        <v>729</v>
      </c>
    </row>
    <row r="569" spans="1:3" hidden="1">
      <c r="A569" s="119">
        <v>522</v>
      </c>
      <c r="B569" s="71">
        <v>512</v>
      </c>
      <c r="C569" s="73">
        <v>729</v>
      </c>
    </row>
    <row r="570" spans="1:3" hidden="1">
      <c r="A570" s="119">
        <v>523</v>
      </c>
      <c r="B570" s="71">
        <v>512</v>
      </c>
      <c r="C570" s="73">
        <v>729</v>
      </c>
    </row>
    <row r="571" spans="1:3" hidden="1">
      <c r="A571" s="119">
        <v>524</v>
      </c>
      <c r="B571" s="71">
        <v>512</v>
      </c>
      <c r="C571" s="73">
        <v>729</v>
      </c>
    </row>
    <row r="572" spans="1:3" hidden="1">
      <c r="A572" s="119">
        <v>525</v>
      </c>
      <c r="B572" s="71">
        <v>512</v>
      </c>
      <c r="C572" s="73">
        <v>729</v>
      </c>
    </row>
    <row r="573" spans="1:3" hidden="1">
      <c r="A573" s="119">
        <v>526</v>
      </c>
      <c r="B573" s="71">
        <v>512</v>
      </c>
      <c r="C573" s="73">
        <v>729</v>
      </c>
    </row>
    <row r="574" spans="1:3" hidden="1">
      <c r="A574" s="119">
        <v>527</v>
      </c>
      <c r="B574" s="71">
        <v>512</v>
      </c>
      <c r="C574" s="73">
        <v>729</v>
      </c>
    </row>
    <row r="575" spans="1:3" hidden="1">
      <c r="A575" s="119">
        <v>528</v>
      </c>
      <c r="B575" s="71">
        <v>512</v>
      </c>
      <c r="C575" s="73">
        <v>729</v>
      </c>
    </row>
    <row r="576" spans="1:3" hidden="1">
      <c r="A576" s="119">
        <v>529</v>
      </c>
      <c r="B576" s="71">
        <v>512</v>
      </c>
      <c r="C576" s="73">
        <v>729</v>
      </c>
    </row>
    <row r="577" spans="1:3" hidden="1">
      <c r="A577" s="119">
        <v>530</v>
      </c>
      <c r="B577" s="71">
        <v>512</v>
      </c>
      <c r="C577" s="73">
        <v>729</v>
      </c>
    </row>
    <row r="578" spans="1:3" hidden="1">
      <c r="A578" s="119">
        <v>531</v>
      </c>
      <c r="B578" s="71">
        <v>512</v>
      </c>
      <c r="C578" s="73">
        <v>729</v>
      </c>
    </row>
    <row r="579" spans="1:3" hidden="1">
      <c r="A579" s="119">
        <v>532</v>
      </c>
      <c r="B579" s="71">
        <v>512</v>
      </c>
      <c r="C579" s="73">
        <v>729</v>
      </c>
    </row>
    <row r="580" spans="1:3" hidden="1">
      <c r="A580" s="119">
        <v>533</v>
      </c>
      <c r="B580" s="71">
        <v>512</v>
      </c>
      <c r="C580" s="73">
        <v>729</v>
      </c>
    </row>
    <row r="581" spans="1:3" hidden="1">
      <c r="A581" s="119">
        <v>534</v>
      </c>
      <c r="B581" s="71">
        <v>512</v>
      </c>
      <c r="C581" s="73">
        <v>729</v>
      </c>
    </row>
    <row r="582" spans="1:3" hidden="1">
      <c r="A582" s="119">
        <v>535</v>
      </c>
      <c r="B582" s="71">
        <v>512</v>
      </c>
      <c r="C582" s="73">
        <v>729</v>
      </c>
    </row>
    <row r="583" spans="1:3" hidden="1">
      <c r="A583" s="119">
        <v>536</v>
      </c>
      <c r="B583" s="71">
        <v>512</v>
      </c>
      <c r="C583" s="73">
        <v>729</v>
      </c>
    </row>
    <row r="584" spans="1:3" hidden="1">
      <c r="A584" s="119">
        <v>537</v>
      </c>
      <c r="B584" s="71">
        <v>512</v>
      </c>
      <c r="C584" s="73">
        <v>729</v>
      </c>
    </row>
    <row r="585" spans="1:3" hidden="1">
      <c r="A585" s="119">
        <v>538</v>
      </c>
      <c r="B585" s="71">
        <v>512</v>
      </c>
      <c r="C585" s="73">
        <v>729</v>
      </c>
    </row>
    <row r="586" spans="1:3" hidden="1">
      <c r="A586" s="119">
        <v>539</v>
      </c>
      <c r="B586" s="71">
        <v>512</v>
      </c>
      <c r="C586" s="73">
        <v>729</v>
      </c>
    </row>
    <row r="587" spans="1:3" hidden="1">
      <c r="A587" s="119">
        <v>540</v>
      </c>
      <c r="B587" s="71">
        <v>512</v>
      </c>
      <c r="C587" s="73">
        <v>729</v>
      </c>
    </row>
    <row r="588" spans="1:3" hidden="1">
      <c r="A588" s="119">
        <v>541</v>
      </c>
      <c r="B588" s="71">
        <v>512</v>
      </c>
      <c r="C588" s="73">
        <v>729</v>
      </c>
    </row>
    <row r="589" spans="1:3" hidden="1">
      <c r="A589" s="119">
        <v>542</v>
      </c>
      <c r="B589" s="71">
        <v>512</v>
      </c>
      <c r="C589" s="73">
        <v>729</v>
      </c>
    </row>
    <row r="590" spans="1:3" hidden="1">
      <c r="A590" s="119">
        <v>543</v>
      </c>
      <c r="B590" s="71">
        <v>512</v>
      </c>
      <c r="C590" s="73">
        <v>729</v>
      </c>
    </row>
    <row r="591" spans="1:3" hidden="1">
      <c r="A591" s="119">
        <v>544</v>
      </c>
      <c r="B591" s="71">
        <v>512</v>
      </c>
      <c r="C591" s="73">
        <v>729</v>
      </c>
    </row>
    <row r="592" spans="1:3" hidden="1">
      <c r="A592" s="119">
        <v>545</v>
      </c>
      <c r="B592" s="71">
        <v>512</v>
      </c>
      <c r="C592" s="73">
        <v>729</v>
      </c>
    </row>
    <row r="593" spans="1:3" hidden="1">
      <c r="A593" s="119">
        <v>546</v>
      </c>
      <c r="B593" s="71">
        <v>512</v>
      </c>
      <c r="C593" s="73">
        <v>729</v>
      </c>
    </row>
    <row r="594" spans="1:3" hidden="1">
      <c r="A594" s="119">
        <v>547</v>
      </c>
      <c r="B594" s="71">
        <v>512</v>
      </c>
      <c r="C594" s="73">
        <v>729</v>
      </c>
    </row>
    <row r="595" spans="1:3" hidden="1">
      <c r="A595" s="119">
        <v>548</v>
      </c>
      <c r="B595" s="71">
        <v>512</v>
      </c>
      <c r="C595" s="73">
        <v>729</v>
      </c>
    </row>
    <row r="596" spans="1:3" hidden="1">
      <c r="A596" s="119">
        <v>549</v>
      </c>
      <c r="B596" s="71">
        <v>512</v>
      </c>
      <c r="C596" s="73">
        <v>729</v>
      </c>
    </row>
    <row r="597" spans="1:3" hidden="1">
      <c r="A597" s="119">
        <v>550</v>
      </c>
      <c r="B597" s="71">
        <v>512</v>
      </c>
      <c r="C597" s="73">
        <v>729</v>
      </c>
    </row>
    <row r="598" spans="1:3" hidden="1">
      <c r="A598" s="119">
        <v>551</v>
      </c>
      <c r="B598" s="71">
        <v>512</v>
      </c>
      <c r="C598" s="73">
        <v>729</v>
      </c>
    </row>
    <row r="599" spans="1:3" hidden="1">
      <c r="A599" s="119">
        <v>552</v>
      </c>
      <c r="B599" s="71">
        <v>512</v>
      </c>
      <c r="C599" s="73">
        <v>729</v>
      </c>
    </row>
    <row r="600" spans="1:3" hidden="1">
      <c r="A600" s="119">
        <v>553</v>
      </c>
      <c r="B600" s="71">
        <v>512</v>
      </c>
      <c r="C600" s="73">
        <v>729</v>
      </c>
    </row>
    <row r="601" spans="1:3" hidden="1">
      <c r="A601" s="119">
        <v>554</v>
      </c>
      <c r="B601" s="71">
        <v>512</v>
      </c>
      <c r="C601" s="73">
        <v>729</v>
      </c>
    </row>
    <row r="602" spans="1:3" hidden="1">
      <c r="A602" s="119">
        <v>555</v>
      </c>
      <c r="B602" s="71">
        <v>512</v>
      </c>
      <c r="C602" s="73">
        <v>729</v>
      </c>
    </row>
    <row r="603" spans="1:3" hidden="1">
      <c r="A603" s="119">
        <v>556</v>
      </c>
      <c r="B603" s="71">
        <v>512</v>
      </c>
      <c r="C603" s="73">
        <v>729</v>
      </c>
    </row>
    <row r="604" spans="1:3" hidden="1">
      <c r="A604" s="119">
        <v>557</v>
      </c>
      <c r="B604" s="71">
        <v>512</v>
      </c>
      <c r="C604" s="73">
        <v>729</v>
      </c>
    </row>
    <row r="605" spans="1:3" hidden="1">
      <c r="A605" s="119">
        <v>558</v>
      </c>
      <c r="B605" s="71">
        <v>512</v>
      </c>
      <c r="C605" s="73">
        <v>729</v>
      </c>
    </row>
    <row r="606" spans="1:3" hidden="1">
      <c r="A606" s="119">
        <v>559</v>
      </c>
      <c r="B606" s="71">
        <v>512</v>
      </c>
      <c r="C606" s="73">
        <v>729</v>
      </c>
    </row>
    <row r="607" spans="1:3" hidden="1">
      <c r="A607" s="119">
        <v>560</v>
      </c>
      <c r="B607" s="71">
        <v>512</v>
      </c>
      <c r="C607" s="73">
        <v>729</v>
      </c>
    </row>
    <row r="608" spans="1:3" hidden="1">
      <c r="A608" s="119">
        <v>561</v>
      </c>
      <c r="B608" s="71">
        <v>512</v>
      </c>
      <c r="C608" s="73">
        <v>729</v>
      </c>
    </row>
    <row r="609" spans="1:3" hidden="1">
      <c r="A609" s="119">
        <v>562</v>
      </c>
      <c r="B609" s="71">
        <v>512</v>
      </c>
      <c r="C609" s="73">
        <v>729</v>
      </c>
    </row>
    <row r="610" spans="1:3" hidden="1">
      <c r="A610" s="119">
        <v>563</v>
      </c>
      <c r="B610" s="71">
        <v>512</v>
      </c>
      <c r="C610" s="73">
        <v>729</v>
      </c>
    </row>
    <row r="611" spans="1:3" hidden="1">
      <c r="A611" s="119">
        <v>564</v>
      </c>
      <c r="B611" s="71">
        <v>512</v>
      </c>
      <c r="C611" s="73">
        <v>729</v>
      </c>
    </row>
    <row r="612" spans="1:3" hidden="1">
      <c r="A612" s="119">
        <v>565</v>
      </c>
      <c r="B612" s="71">
        <v>512</v>
      </c>
      <c r="C612" s="73">
        <v>729</v>
      </c>
    </row>
    <row r="613" spans="1:3" hidden="1">
      <c r="A613" s="119">
        <v>566</v>
      </c>
      <c r="B613" s="71">
        <v>512</v>
      </c>
      <c r="C613" s="73">
        <v>729</v>
      </c>
    </row>
    <row r="614" spans="1:3" hidden="1">
      <c r="A614" s="119">
        <v>567</v>
      </c>
      <c r="B614" s="71">
        <v>512</v>
      </c>
      <c r="C614" s="73">
        <v>729</v>
      </c>
    </row>
    <row r="615" spans="1:3" hidden="1">
      <c r="A615" s="119">
        <v>568</v>
      </c>
      <c r="B615" s="71">
        <v>512</v>
      </c>
      <c r="C615" s="73">
        <v>729</v>
      </c>
    </row>
    <row r="616" spans="1:3" hidden="1">
      <c r="A616" s="119">
        <v>569</v>
      </c>
      <c r="B616" s="71">
        <v>512</v>
      </c>
      <c r="C616" s="73">
        <v>729</v>
      </c>
    </row>
    <row r="617" spans="1:3" hidden="1">
      <c r="A617" s="119">
        <v>570</v>
      </c>
      <c r="B617" s="71">
        <v>512</v>
      </c>
      <c r="C617" s="73">
        <v>729</v>
      </c>
    </row>
    <row r="618" spans="1:3" hidden="1">
      <c r="A618" s="119">
        <v>571</v>
      </c>
      <c r="B618" s="71">
        <v>512</v>
      </c>
      <c r="C618" s="73">
        <v>729</v>
      </c>
    </row>
    <row r="619" spans="1:3" hidden="1">
      <c r="A619" s="119">
        <v>572</v>
      </c>
      <c r="B619" s="71">
        <v>512</v>
      </c>
      <c r="C619" s="73">
        <v>729</v>
      </c>
    </row>
    <row r="620" spans="1:3" hidden="1">
      <c r="A620" s="119">
        <v>573</v>
      </c>
      <c r="B620" s="71">
        <v>512</v>
      </c>
      <c r="C620" s="73">
        <v>729</v>
      </c>
    </row>
    <row r="621" spans="1:3" hidden="1">
      <c r="A621" s="119">
        <v>574</v>
      </c>
      <c r="B621" s="71">
        <v>512</v>
      </c>
      <c r="C621" s="73">
        <v>729</v>
      </c>
    </row>
    <row r="622" spans="1:3" hidden="1">
      <c r="A622" s="119">
        <v>575</v>
      </c>
      <c r="B622" s="71">
        <v>512</v>
      </c>
      <c r="C622" s="73">
        <v>729</v>
      </c>
    </row>
    <row r="623" spans="1:3" hidden="1">
      <c r="A623" s="119">
        <v>576</v>
      </c>
      <c r="B623" s="71">
        <v>512</v>
      </c>
      <c r="C623" s="73">
        <v>729</v>
      </c>
    </row>
    <row r="624" spans="1:3" hidden="1">
      <c r="A624" s="119">
        <v>577</v>
      </c>
      <c r="B624" s="71">
        <v>512</v>
      </c>
      <c r="C624" s="73">
        <v>729</v>
      </c>
    </row>
    <row r="625" spans="1:3" hidden="1">
      <c r="A625" s="119">
        <v>578</v>
      </c>
      <c r="B625" s="71">
        <v>512</v>
      </c>
      <c r="C625" s="73">
        <v>729</v>
      </c>
    </row>
    <row r="626" spans="1:3" hidden="1">
      <c r="A626" s="119">
        <v>579</v>
      </c>
      <c r="B626" s="71">
        <v>512</v>
      </c>
      <c r="C626" s="73">
        <v>729</v>
      </c>
    </row>
    <row r="627" spans="1:3" hidden="1">
      <c r="A627" s="119">
        <v>580</v>
      </c>
      <c r="B627" s="71">
        <v>512</v>
      </c>
      <c r="C627" s="73">
        <v>729</v>
      </c>
    </row>
    <row r="628" spans="1:3" hidden="1">
      <c r="A628" s="119">
        <v>581</v>
      </c>
      <c r="B628" s="71">
        <v>512</v>
      </c>
      <c r="C628" s="73">
        <v>729</v>
      </c>
    </row>
    <row r="629" spans="1:3" hidden="1">
      <c r="A629" s="119">
        <v>582</v>
      </c>
      <c r="B629" s="71">
        <v>512</v>
      </c>
      <c r="C629" s="73">
        <v>729</v>
      </c>
    </row>
    <row r="630" spans="1:3" hidden="1">
      <c r="A630" s="119">
        <v>583</v>
      </c>
      <c r="B630" s="71">
        <v>512</v>
      </c>
      <c r="C630" s="73">
        <v>729</v>
      </c>
    </row>
    <row r="631" spans="1:3" hidden="1">
      <c r="A631" s="119">
        <v>584</v>
      </c>
      <c r="B631" s="71">
        <v>512</v>
      </c>
      <c r="C631" s="73">
        <v>729</v>
      </c>
    </row>
    <row r="632" spans="1:3" hidden="1">
      <c r="A632" s="119">
        <v>585</v>
      </c>
      <c r="B632" s="71">
        <v>512</v>
      </c>
      <c r="C632" s="73">
        <v>729</v>
      </c>
    </row>
    <row r="633" spans="1:3" hidden="1">
      <c r="A633" s="119">
        <v>586</v>
      </c>
      <c r="B633" s="71">
        <v>512</v>
      </c>
      <c r="C633" s="73">
        <v>729</v>
      </c>
    </row>
    <row r="634" spans="1:3" hidden="1">
      <c r="A634" s="119">
        <v>587</v>
      </c>
      <c r="B634" s="71">
        <v>512</v>
      </c>
      <c r="C634" s="73">
        <v>729</v>
      </c>
    </row>
    <row r="635" spans="1:3" hidden="1">
      <c r="A635" s="119">
        <v>588</v>
      </c>
      <c r="B635" s="71">
        <v>512</v>
      </c>
      <c r="C635" s="73">
        <v>729</v>
      </c>
    </row>
    <row r="636" spans="1:3" hidden="1">
      <c r="A636" s="119">
        <v>589</v>
      </c>
      <c r="B636" s="71">
        <v>512</v>
      </c>
      <c r="C636" s="73">
        <v>729</v>
      </c>
    </row>
    <row r="637" spans="1:3" hidden="1">
      <c r="A637" s="119">
        <v>590</v>
      </c>
      <c r="B637" s="71">
        <v>512</v>
      </c>
      <c r="C637" s="73">
        <v>729</v>
      </c>
    </row>
    <row r="638" spans="1:3" hidden="1">
      <c r="A638" s="119">
        <v>591</v>
      </c>
      <c r="B638" s="71">
        <v>512</v>
      </c>
      <c r="C638" s="73">
        <v>729</v>
      </c>
    </row>
    <row r="639" spans="1:3" hidden="1">
      <c r="A639" s="119">
        <v>592</v>
      </c>
      <c r="B639" s="71">
        <v>512</v>
      </c>
      <c r="C639" s="73">
        <v>729</v>
      </c>
    </row>
    <row r="640" spans="1:3" hidden="1">
      <c r="A640" s="119">
        <v>593</v>
      </c>
      <c r="B640" s="71">
        <v>512</v>
      </c>
      <c r="C640" s="73">
        <v>729</v>
      </c>
    </row>
    <row r="641" spans="1:3" hidden="1">
      <c r="A641" s="119">
        <v>594</v>
      </c>
      <c r="B641" s="71">
        <v>512</v>
      </c>
      <c r="C641" s="73">
        <v>729</v>
      </c>
    </row>
    <row r="642" spans="1:3" hidden="1">
      <c r="A642" s="119">
        <v>595</v>
      </c>
      <c r="B642" s="71">
        <v>512</v>
      </c>
      <c r="C642" s="73">
        <v>729</v>
      </c>
    </row>
    <row r="643" spans="1:3" hidden="1">
      <c r="A643" s="119">
        <v>596</v>
      </c>
      <c r="B643" s="71">
        <v>512</v>
      </c>
      <c r="C643" s="73">
        <v>729</v>
      </c>
    </row>
    <row r="644" spans="1:3" hidden="1">
      <c r="A644" s="119">
        <v>597</v>
      </c>
      <c r="B644" s="71">
        <v>512</v>
      </c>
      <c r="C644" s="73">
        <v>729</v>
      </c>
    </row>
    <row r="645" spans="1:3" hidden="1">
      <c r="A645" s="119">
        <v>598</v>
      </c>
      <c r="B645" s="71">
        <v>512</v>
      </c>
      <c r="C645" s="73">
        <v>729</v>
      </c>
    </row>
    <row r="646" spans="1:3" hidden="1">
      <c r="A646" s="119">
        <v>599</v>
      </c>
      <c r="B646" s="71">
        <v>512</v>
      </c>
      <c r="C646" s="73">
        <v>729</v>
      </c>
    </row>
    <row r="647" spans="1:3" hidden="1">
      <c r="A647" s="119">
        <v>600</v>
      </c>
      <c r="B647" s="71">
        <v>512</v>
      </c>
      <c r="C647" s="73">
        <v>729</v>
      </c>
    </row>
    <row r="648" spans="1:3" hidden="1">
      <c r="A648" s="119">
        <v>601</v>
      </c>
      <c r="B648" s="71">
        <v>512</v>
      </c>
      <c r="C648" s="73">
        <v>729</v>
      </c>
    </row>
    <row r="649" spans="1:3" hidden="1">
      <c r="A649" s="119">
        <v>602</v>
      </c>
      <c r="B649" s="71">
        <v>512</v>
      </c>
      <c r="C649" s="73">
        <v>729</v>
      </c>
    </row>
    <row r="650" spans="1:3" hidden="1">
      <c r="A650" s="119">
        <v>603</v>
      </c>
      <c r="B650" s="71">
        <v>512</v>
      </c>
      <c r="C650" s="73">
        <v>729</v>
      </c>
    </row>
    <row r="651" spans="1:3" hidden="1">
      <c r="A651" s="119">
        <v>604</v>
      </c>
      <c r="B651" s="71">
        <v>512</v>
      </c>
      <c r="C651" s="73">
        <v>729</v>
      </c>
    </row>
    <row r="652" spans="1:3" hidden="1">
      <c r="A652" s="119">
        <v>605</v>
      </c>
      <c r="B652" s="71">
        <v>512</v>
      </c>
      <c r="C652" s="73">
        <v>729</v>
      </c>
    </row>
    <row r="653" spans="1:3" hidden="1">
      <c r="A653" s="119">
        <v>606</v>
      </c>
      <c r="B653" s="71">
        <v>512</v>
      </c>
      <c r="C653" s="73">
        <v>729</v>
      </c>
    </row>
    <row r="654" spans="1:3" hidden="1">
      <c r="A654" s="119">
        <v>607</v>
      </c>
      <c r="B654" s="71">
        <v>512</v>
      </c>
      <c r="C654" s="73">
        <v>729</v>
      </c>
    </row>
    <row r="655" spans="1:3" hidden="1">
      <c r="A655" s="119">
        <v>608</v>
      </c>
      <c r="B655" s="71">
        <v>512</v>
      </c>
      <c r="C655" s="73">
        <v>729</v>
      </c>
    </row>
    <row r="656" spans="1:3" hidden="1">
      <c r="A656" s="119">
        <v>609</v>
      </c>
      <c r="B656" s="71">
        <v>512</v>
      </c>
      <c r="C656" s="73">
        <v>729</v>
      </c>
    </row>
    <row r="657" spans="1:3" hidden="1">
      <c r="A657" s="119">
        <v>610</v>
      </c>
      <c r="B657" s="71">
        <v>512</v>
      </c>
      <c r="C657" s="73">
        <v>729</v>
      </c>
    </row>
    <row r="658" spans="1:3" hidden="1">
      <c r="A658" s="119">
        <v>611</v>
      </c>
      <c r="B658" s="71">
        <v>512</v>
      </c>
      <c r="C658" s="73">
        <v>729</v>
      </c>
    </row>
    <row r="659" spans="1:3" hidden="1">
      <c r="A659" s="119">
        <v>612</v>
      </c>
      <c r="B659" s="71">
        <v>512</v>
      </c>
      <c r="C659" s="73">
        <v>729</v>
      </c>
    </row>
    <row r="660" spans="1:3" hidden="1">
      <c r="A660" s="119">
        <v>613</v>
      </c>
      <c r="B660" s="71">
        <v>512</v>
      </c>
      <c r="C660" s="73">
        <v>729</v>
      </c>
    </row>
    <row r="661" spans="1:3" hidden="1">
      <c r="A661" s="119">
        <v>614</v>
      </c>
      <c r="B661" s="71">
        <v>512</v>
      </c>
      <c r="C661" s="73">
        <v>729</v>
      </c>
    </row>
    <row r="662" spans="1:3" hidden="1">
      <c r="A662" s="119">
        <v>615</v>
      </c>
      <c r="B662" s="71">
        <v>512</v>
      </c>
      <c r="C662" s="73">
        <v>729</v>
      </c>
    </row>
    <row r="663" spans="1:3" hidden="1">
      <c r="A663" s="119">
        <v>616</v>
      </c>
      <c r="B663" s="71">
        <v>512</v>
      </c>
      <c r="C663" s="73">
        <v>729</v>
      </c>
    </row>
    <row r="664" spans="1:3" hidden="1">
      <c r="A664" s="119">
        <v>617</v>
      </c>
      <c r="B664" s="71">
        <v>512</v>
      </c>
      <c r="C664" s="73">
        <v>729</v>
      </c>
    </row>
    <row r="665" spans="1:3" hidden="1">
      <c r="A665" s="119">
        <v>618</v>
      </c>
      <c r="B665" s="71">
        <v>512</v>
      </c>
      <c r="C665" s="73">
        <v>729</v>
      </c>
    </row>
    <row r="666" spans="1:3" hidden="1">
      <c r="A666" s="119">
        <v>619</v>
      </c>
      <c r="B666" s="71">
        <v>512</v>
      </c>
      <c r="C666" s="73">
        <v>729</v>
      </c>
    </row>
    <row r="667" spans="1:3" hidden="1">
      <c r="A667" s="119">
        <v>620</v>
      </c>
      <c r="B667" s="71">
        <v>512</v>
      </c>
      <c r="C667" s="73">
        <v>729</v>
      </c>
    </row>
    <row r="668" spans="1:3" hidden="1">
      <c r="A668" s="119">
        <v>621</v>
      </c>
      <c r="B668" s="71">
        <v>512</v>
      </c>
      <c r="C668" s="73">
        <v>729</v>
      </c>
    </row>
    <row r="669" spans="1:3" hidden="1">
      <c r="A669" s="119">
        <v>622</v>
      </c>
      <c r="B669" s="71">
        <v>512</v>
      </c>
      <c r="C669" s="73">
        <v>729</v>
      </c>
    </row>
    <row r="670" spans="1:3" hidden="1">
      <c r="A670" s="119">
        <v>623</v>
      </c>
      <c r="B670" s="71">
        <v>512</v>
      </c>
      <c r="C670" s="73">
        <v>729</v>
      </c>
    </row>
    <row r="671" spans="1:3" hidden="1">
      <c r="A671" s="119">
        <v>624</v>
      </c>
      <c r="B671" s="71">
        <v>512</v>
      </c>
      <c r="C671" s="73">
        <v>729</v>
      </c>
    </row>
    <row r="672" spans="1:3" hidden="1">
      <c r="A672" s="119">
        <v>625</v>
      </c>
      <c r="B672" s="71">
        <v>512</v>
      </c>
      <c r="C672" s="73">
        <v>729</v>
      </c>
    </row>
    <row r="673" spans="1:3" hidden="1">
      <c r="A673" s="119">
        <v>626</v>
      </c>
      <c r="B673" s="71">
        <v>512</v>
      </c>
      <c r="C673" s="73">
        <v>729</v>
      </c>
    </row>
    <row r="674" spans="1:3" hidden="1">
      <c r="A674" s="119">
        <v>627</v>
      </c>
      <c r="B674" s="71">
        <v>512</v>
      </c>
      <c r="C674" s="73">
        <v>729</v>
      </c>
    </row>
    <row r="675" spans="1:3" hidden="1">
      <c r="A675" s="119">
        <v>628</v>
      </c>
      <c r="B675" s="71">
        <v>512</v>
      </c>
      <c r="C675" s="73">
        <v>729</v>
      </c>
    </row>
    <row r="676" spans="1:3" hidden="1">
      <c r="A676" s="119">
        <v>629</v>
      </c>
      <c r="B676" s="71">
        <v>512</v>
      </c>
      <c r="C676" s="73">
        <v>729</v>
      </c>
    </row>
    <row r="677" spans="1:3" hidden="1">
      <c r="A677" s="119">
        <v>630</v>
      </c>
      <c r="B677" s="71">
        <v>512</v>
      </c>
      <c r="C677" s="73">
        <v>729</v>
      </c>
    </row>
    <row r="678" spans="1:3" hidden="1">
      <c r="A678" s="119">
        <v>631</v>
      </c>
      <c r="B678" s="71">
        <v>512</v>
      </c>
      <c r="C678" s="73">
        <v>729</v>
      </c>
    </row>
    <row r="679" spans="1:3" hidden="1">
      <c r="A679" s="119">
        <v>632</v>
      </c>
      <c r="B679" s="71">
        <v>512</v>
      </c>
      <c r="C679" s="73">
        <v>729</v>
      </c>
    </row>
    <row r="680" spans="1:3" hidden="1">
      <c r="A680" s="119">
        <v>633</v>
      </c>
      <c r="B680" s="71">
        <v>512</v>
      </c>
      <c r="C680" s="73">
        <v>729</v>
      </c>
    </row>
    <row r="681" spans="1:3" hidden="1">
      <c r="A681" s="119">
        <v>634</v>
      </c>
      <c r="B681" s="71">
        <v>512</v>
      </c>
      <c r="C681" s="73">
        <v>729</v>
      </c>
    </row>
    <row r="682" spans="1:3" hidden="1">
      <c r="A682" s="119">
        <v>635</v>
      </c>
      <c r="B682" s="71">
        <v>512</v>
      </c>
      <c r="C682" s="73">
        <v>729</v>
      </c>
    </row>
    <row r="683" spans="1:3" hidden="1">
      <c r="A683" s="119">
        <v>636</v>
      </c>
      <c r="B683" s="71">
        <v>512</v>
      </c>
      <c r="C683" s="73">
        <v>729</v>
      </c>
    </row>
    <row r="684" spans="1:3" hidden="1">
      <c r="A684" s="119">
        <v>637</v>
      </c>
      <c r="B684" s="71">
        <v>512</v>
      </c>
      <c r="C684" s="73">
        <v>729</v>
      </c>
    </row>
    <row r="685" spans="1:3" hidden="1">
      <c r="A685" s="119">
        <v>638</v>
      </c>
      <c r="B685" s="71">
        <v>512</v>
      </c>
      <c r="C685" s="73">
        <v>729</v>
      </c>
    </row>
    <row r="686" spans="1:3" hidden="1">
      <c r="A686" s="119">
        <v>639</v>
      </c>
      <c r="B686" s="71">
        <v>512</v>
      </c>
      <c r="C686" s="73">
        <v>729</v>
      </c>
    </row>
    <row r="687" spans="1:3" hidden="1">
      <c r="A687" s="119">
        <v>640</v>
      </c>
      <c r="B687" s="71">
        <v>512</v>
      </c>
      <c r="C687" s="73">
        <v>729</v>
      </c>
    </row>
    <row r="688" spans="1:3" hidden="1">
      <c r="A688" s="119">
        <v>641</v>
      </c>
      <c r="B688" s="71">
        <v>512</v>
      </c>
      <c r="C688" s="73">
        <v>729</v>
      </c>
    </row>
    <row r="689" spans="1:3" hidden="1">
      <c r="A689" s="119">
        <v>642</v>
      </c>
      <c r="B689" s="71">
        <v>512</v>
      </c>
      <c r="C689" s="73">
        <v>729</v>
      </c>
    </row>
    <row r="690" spans="1:3" hidden="1">
      <c r="A690" s="119">
        <v>643</v>
      </c>
      <c r="B690" s="71">
        <v>512</v>
      </c>
      <c r="C690" s="73">
        <v>729</v>
      </c>
    </row>
    <row r="691" spans="1:3" hidden="1">
      <c r="A691" s="119">
        <v>644</v>
      </c>
      <c r="B691" s="71">
        <v>512</v>
      </c>
      <c r="C691" s="73">
        <v>729</v>
      </c>
    </row>
    <row r="692" spans="1:3" hidden="1">
      <c r="A692" s="119">
        <v>645</v>
      </c>
      <c r="B692" s="71">
        <v>512</v>
      </c>
      <c r="C692" s="73">
        <v>729</v>
      </c>
    </row>
    <row r="693" spans="1:3" hidden="1">
      <c r="A693" s="119">
        <v>646</v>
      </c>
      <c r="B693" s="71">
        <v>512</v>
      </c>
      <c r="C693" s="73">
        <v>729</v>
      </c>
    </row>
    <row r="694" spans="1:3" hidden="1">
      <c r="A694" s="119">
        <v>647</v>
      </c>
      <c r="B694" s="71">
        <v>512</v>
      </c>
      <c r="C694" s="73">
        <v>729</v>
      </c>
    </row>
    <row r="695" spans="1:3" hidden="1">
      <c r="A695" s="119">
        <v>648</v>
      </c>
      <c r="B695" s="71">
        <v>512</v>
      </c>
      <c r="C695" s="73">
        <v>729</v>
      </c>
    </row>
    <row r="696" spans="1:3" hidden="1">
      <c r="A696" s="119">
        <v>649</v>
      </c>
      <c r="B696" s="71">
        <v>512</v>
      </c>
      <c r="C696" s="73">
        <v>729</v>
      </c>
    </row>
    <row r="697" spans="1:3" hidden="1">
      <c r="A697" s="119">
        <v>650</v>
      </c>
      <c r="B697" s="71">
        <v>512</v>
      </c>
      <c r="C697" s="73">
        <v>729</v>
      </c>
    </row>
    <row r="698" spans="1:3" hidden="1">
      <c r="A698" s="119">
        <v>651</v>
      </c>
      <c r="B698" s="71">
        <v>512</v>
      </c>
      <c r="C698" s="73">
        <v>729</v>
      </c>
    </row>
    <row r="699" spans="1:3" hidden="1">
      <c r="A699" s="119">
        <v>652</v>
      </c>
      <c r="B699" s="71">
        <v>512</v>
      </c>
      <c r="C699" s="73">
        <v>729</v>
      </c>
    </row>
    <row r="700" spans="1:3" hidden="1">
      <c r="A700" s="119">
        <v>653</v>
      </c>
      <c r="B700" s="71">
        <v>512</v>
      </c>
      <c r="C700" s="73">
        <v>729</v>
      </c>
    </row>
    <row r="701" spans="1:3" hidden="1">
      <c r="A701" s="119">
        <v>654</v>
      </c>
      <c r="B701" s="71">
        <v>512</v>
      </c>
      <c r="C701" s="73">
        <v>729</v>
      </c>
    </row>
    <row r="702" spans="1:3" hidden="1">
      <c r="A702" s="119">
        <v>655</v>
      </c>
      <c r="B702" s="71">
        <v>512</v>
      </c>
      <c r="C702" s="73">
        <v>729</v>
      </c>
    </row>
    <row r="703" spans="1:3" hidden="1">
      <c r="A703" s="119">
        <v>656</v>
      </c>
      <c r="B703" s="71">
        <v>512</v>
      </c>
      <c r="C703" s="73">
        <v>729</v>
      </c>
    </row>
    <row r="704" spans="1:3" hidden="1">
      <c r="A704" s="119">
        <v>657</v>
      </c>
      <c r="B704" s="71">
        <v>512</v>
      </c>
      <c r="C704" s="73">
        <v>729</v>
      </c>
    </row>
    <row r="705" spans="1:3" hidden="1">
      <c r="A705" s="119">
        <v>658</v>
      </c>
      <c r="B705" s="71">
        <v>512</v>
      </c>
      <c r="C705" s="73">
        <v>729</v>
      </c>
    </row>
    <row r="706" spans="1:3" hidden="1">
      <c r="A706" s="119">
        <v>659</v>
      </c>
      <c r="B706" s="71">
        <v>512</v>
      </c>
      <c r="C706" s="73">
        <v>729</v>
      </c>
    </row>
    <row r="707" spans="1:3" hidden="1">
      <c r="A707" s="119">
        <v>660</v>
      </c>
      <c r="B707" s="71">
        <v>512</v>
      </c>
      <c r="C707" s="73">
        <v>729</v>
      </c>
    </row>
    <row r="708" spans="1:3" hidden="1">
      <c r="A708" s="119">
        <v>661</v>
      </c>
      <c r="B708" s="71">
        <v>512</v>
      </c>
      <c r="C708" s="73">
        <v>729</v>
      </c>
    </row>
    <row r="709" spans="1:3" hidden="1">
      <c r="A709" s="119">
        <v>662</v>
      </c>
      <c r="B709" s="71">
        <v>512</v>
      </c>
      <c r="C709" s="73">
        <v>729</v>
      </c>
    </row>
    <row r="710" spans="1:3" hidden="1">
      <c r="A710" s="119">
        <v>663</v>
      </c>
      <c r="B710" s="71">
        <v>512</v>
      </c>
      <c r="C710" s="73">
        <v>729</v>
      </c>
    </row>
    <row r="711" spans="1:3" hidden="1">
      <c r="A711" s="119">
        <v>664</v>
      </c>
      <c r="B711" s="71">
        <v>512</v>
      </c>
      <c r="C711" s="73">
        <v>729</v>
      </c>
    </row>
    <row r="712" spans="1:3" hidden="1">
      <c r="A712" s="119">
        <v>665</v>
      </c>
      <c r="B712" s="71">
        <v>512</v>
      </c>
      <c r="C712" s="73">
        <v>729</v>
      </c>
    </row>
    <row r="713" spans="1:3" hidden="1">
      <c r="A713" s="119">
        <v>666</v>
      </c>
      <c r="B713" s="71">
        <v>512</v>
      </c>
      <c r="C713" s="73">
        <v>729</v>
      </c>
    </row>
    <row r="714" spans="1:3" hidden="1">
      <c r="A714" s="119">
        <v>667</v>
      </c>
      <c r="B714" s="71">
        <v>512</v>
      </c>
      <c r="C714" s="73">
        <v>729</v>
      </c>
    </row>
    <row r="715" spans="1:3" hidden="1">
      <c r="A715" s="119">
        <v>668</v>
      </c>
      <c r="B715" s="71">
        <v>512</v>
      </c>
      <c r="C715" s="73">
        <v>729</v>
      </c>
    </row>
    <row r="716" spans="1:3" hidden="1">
      <c r="A716" s="119">
        <v>669</v>
      </c>
      <c r="B716" s="71">
        <v>512</v>
      </c>
      <c r="C716" s="73">
        <v>729</v>
      </c>
    </row>
    <row r="717" spans="1:3" hidden="1">
      <c r="A717" s="119">
        <v>670</v>
      </c>
      <c r="B717" s="71">
        <v>512</v>
      </c>
      <c r="C717" s="73">
        <v>729</v>
      </c>
    </row>
    <row r="718" spans="1:3" hidden="1">
      <c r="A718" s="119">
        <v>671</v>
      </c>
      <c r="B718" s="71">
        <v>512</v>
      </c>
      <c r="C718" s="73">
        <v>729</v>
      </c>
    </row>
    <row r="719" spans="1:3" hidden="1">
      <c r="A719" s="119">
        <v>672</v>
      </c>
      <c r="B719" s="71">
        <v>512</v>
      </c>
      <c r="C719" s="73">
        <v>729</v>
      </c>
    </row>
    <row r="720" spans="1:3" hidden="1">
      <c r="A720" s="119">
        <v>673</v>
      </c>
      <c r="B720" s="71">
        <v>512</v>
      </c>
      <c r="C720" s="73">
        <v>729</v>
      </c>
    </row>
    <row r="721" spans="1:3" hidden="1">
      <c r="A721" s="119">
        <v>674</v>
      </c>
      <c r="B721" s="71">
        <v>512</v>
      </c>
      <c r="C721" s="73">
        <v>729</v>
      </c>
    </row>
    <row r="722" spans="1:3" hidden="1">
      <c r="A722" s="119">
        <v>675</v>
      </c>
      <c r="B722" s="71">
        <v>512</v>
      </c>
      <c r="C722" s="73">
        <v>729</v>
      </c>
    </row>
    <row r="723" spans="1:3" hidden="1">
      <c r="A723" s="119">
        <v>676</v>
      </c>
      <c r="B723" s="71">
        <v>512</v>
      </c>
      <c r="C723" s="73">
        <v>729</v>
      </c>
    </row>
    <row r="724" spans="1:3" hidden="1">
      <c r="A724" s="119">
        <v>677</v>
      </c>
      <c r="B724" s="71">
        <v>512</v>
      </c>
      <c r="C724" s="73">
        <v>729</v>
      </c>
    </row>
    <row r="725" spans="1:3" hidden="1">
      <c r="A725" s="119">
        <v>678</v>
      </c>
      <c r="B725" s="71">
        <v>512</v>
      </c>
      <c r="C725" s="73">
        <v>729</v>
      </c>
    </row>
    <row r="726" spans="1:3" hidden="1">
      <c r="A726" s="119">
        <v>679</v>
      </c>
      <c r="B726" s="71">
        <v>512</v>
      </c>
      <c r="C726" s="73">
        <v>729</v>
      </c>
    </row>
    <row r="727" spans="1:3" hidden="1">
      <c r="A727" s="119">
        <v>680</v>
      </c>
      <c r="B727" s="71">
        <v>512</v>
      </c>
      <c r="C727" s="73">
        <v>729</v>
      </c>
    </row>
    <row r="728" spans="1:3" hidden="1">
      <c r="A728" s="119">
        <v>681</v>
      </c>
      <c r="B728" s="71">
        <v>512</v>
      </c>
      <c r="C728" s="73">
        <v>729</v>
      </c>
    </row>
    <row r="729" spans="1:3" hidden="1">
      <c r="A729" s="119">
        <v>682</v>
      </c>
      <c r="B729" s="71">
        <v>512</v>
      </c>
      <c r="C729" s="73">
        <v>729</v>
      </c>
    </row>
    <row r="730" spans="1:3" hidden="1">
      <c r="A730" s="119">
        <v>683</v>
      </c>
      <c r="B730" s="71">
        <v>512</v>
      </c>
      <c r="C730" s="73">
        <v>729</v>
      </c>
    </row>
    <row r="731" spans="1:3" hidden="1">
      <c r="A731" s="119">
        <v>684</v>
      </c>
      <c r="B731" s="71">
        <v>512</v>
      </c>
      <c r="C731" s="73">
        <v>729</v>
      </c>
    </row>
    <row r="732" spans="1:3" hidden="1">
      <c r="A732" s="119">
        <v>685</v>
      </c>
      <c r="B732" s="71">
        <v>512</v>
      </c>
      <c r="C732" s="73">
        <v>729</v>
      </c>
    </row>
    <row r="733" spans="1:3" hidden="1">
      <c r="A733" s="119">
        <v>686</v>
      </c>
      <c r="B733" s="71">
        <v>512</v>
      </c>
      <c r="C733" s="73">
        <v>729</v>
      </c>
    </row>
    <row r="734" spans="1:3" hidden="1">
      <c r="A734" s="119">
        <v>687</v>
      </c>
      <c r="B734" s="71">
        <v>512</v>
      </c>
      <c r="C734" s="73">
        <v>729</v>
      </c>
    </row>
    <row r="735" spans="1:3" hidden="1">
      <c r="A735" s="119">
        <v>688</v>
      </c>
      <c r="B735" s="71">
        <v>512</v>
      </c>
      <c r="C735" s="73">
        <v>729</v>
      </c>
    </row>
    <row r="736" spans="1:3" hidden="1">
      <c r="A736" s="119">
        <v>689</v>
      </c>
      <c r="B736" s="71">
        <v>512</v>
      </c>
      <c r="C736" s="73">
        <v>729</v>
      </c>
    </row>
    <row r="737" spans="1:3" hidden="1">
      <c r="A737" s="119">
        <v>690</v>
      </c>
      <c r="B737" s="71">
        <v>512</v>
      </c>
      <c r="C737" s="73">
        <v>729</v>
      </c>
    </row>
    <row r="738" spans="1:3" hidden="1">
      <c r="A738" s="119">
        <v>691</v>
      </c>
      <c r="B738" s="71">
        <v>512</v>
      </c>
      <c r="C738" s="73">
        <v>729</v>
      </c>
    </row>
    <row r="739" spans="1:3" hidden="1">
      <c r="A739" s="119">
        <v>692</v>
      </c>
      <c r="B739" s="71">
        <v>512</v>
      </c>
      <c r="C739" s="73">
        <v>729</v>
      </c>
    </row>
    <row r="740" spans="1:3" hidden="1">
      <c r="A740" s="119">
        <v>693</v>
      </c>
      <c r="B740" s="71">
        <v>512</v>
      </c>
      <c r="C740" s="73">
        <v>729</v>
      </c>
    </row>
    <row r="741" spans="1:3" hidden="1">
      <c r="A741" s="119">
        <v>694</v>
      </c>
      <c r="B741" s="71">
        <v>512</v>
      </c>
      <c r="C741" s="73">
        <v>729</v>
      </c>
    </row>
    <row r="742" spans="1:3" hidden="1">
      <c r="A742" s="119">
        <v>695</v>
      </c>
      <c r="B742" s="71">
        <v>512</v>
      </c>
      <c r="C742" s="73">
        <v>729</v>
      </c>
    </row>
    <row r="743" spans="1:3" hidden="1">
      <c r="A743" s="119">
        <v>696</v>
      </c>
      <c r="B743" s="71">
        <v>512</v>
      </c>
      <c r="C743" s="73">
        <v>729</v>
      </c>
    </row>
    <row r="744" spans="1:3" hidden="1">
      <c r="A744" s="119">
        <v>697</v>
      </c>
      <c r="B744" s="71">
        <v>512</v>
      </c>
      <c r="C744" s="73">
        <v>729</v>
      </c>
    </row>
    <row r="745" spans="1:3" hidden="1">
      <c r="A745" s="119">
        <v>698</v>
      </c>
      <c r="B745" s="71">
        <v>512</v>
      </c>
      <c r="C745" s="73">
        <v>729</v>
      </c>
    </row>
    <row r="746" spans="1:3" hidden="1">
      <c r="A746" s="119">
        <v>699</v>
      </c>
      <c r="B746" s="71">
        <v>512</v>
      </c>
      <c r="C746" s="73">
        <v>729</v>
      </c>
    </row>
    <row r="747" spans="1:3" hidden="1">
      <c r="A747" s="119">
        <v>700</v>
      </c>
      <c r="B747" s="71">
        <v>512</v>
      </c>
      <c r="C747" s="73">
        <v>729</v>
      </c>
    </row>
    <row r="748" spans="1:3" hidden="1">
      <c r="A748" s="119">
        <v>701</v>
      </c>
      <c r="B748" s="71">
        <v>512</v>
      </c>
      <c r="C748" s="73">
        <v>729</v>
      </c>
    </row>
    <row r="749" spans="1:3" hidden="1">
      <c r="A749" s="119">
        <v>702</v>
      </c>
      <c r="B749" s="71">
        <v>512</v>
      </c>
      <c r="C749" s="73">
        <v>729</v>
      </c>
    </row>
    <row r="750" spans="1:3" hidden="1">
      <c r="A750" s="119">
        <v>703</v>
      </c>
      <c r="B750" s="71">
        <v>512</v>
      </c>
      <c r="C750" s="73">
        <v>729</v>
      </c>
    </row>
    <row r="751" spans="1:3" hidden="1">
      <c r="A751" s="119">
        <v>704</v>
      </c>
      <c r="B751" s="71">
        <v>512</v>
      </c>
      <c r="C751" s="73">
        <v>729</v>
      </c>
    </row>
    <row r="752" spans="1:3" hidden="1">
      <c r="A752" s="119">
        <v>705</v>
      </c>
      <c r="B752" s="71">
        <v>512</v>
      </c>
      <c r="C752" s="73">
        <v>729</v>
      </c>
    </row>
    <row r="753" spans="1:3" hidden="1">
      <c r="A753" s="119">
        <v>706</v>
      </c>
      <c r="B753" s="71">
        <v>512</v>
      </c>
      <c r="C753" s="73">
        <v>729</v>
      </c>
    </row>
    <row r="754" spans="1:3" hidden="1">
      <c r="A754" s="119">
        <v>707</v>
      </c>
      <c r="B754" s="71">
        <v>512</v>
      </c>
      <c r="C754" s="73">
        <v>729</v>
      </c>
    </row>
    <row r="755" spans="1:3" hidden="1">
      <c r="A755" s="119">
        <v>708</v>
      </c>
      <c r="B755" s="71">
        <v>512</v>
      </c>
      <c r="C755" s="73">
        <v>729</v>
      </c>
    </row>
    <row r="756" spans="1:3" hidden="1">
      <c r="A756" s="119">
        <v>709</v>
      </c>
      <c r="B756" s="71">
        <v>512</v>
      </c>
      <c r="C756" s="73">
        <v>729</v>
      </c>
    </row>
    <row r="757" spans="1:3" hidden="1">
      <c r="A757" s="119">
        <v>710</v>
      </c>
      <c r="B757" s="71">
        <v>512</v>
      </c>
      <c r="C757" s="73">
        <v>729</v>
      </c>
    </row>
    <row r="758" spans="1:3" hidden="1">
      <c r="A758" s="119">
        <v>711</v>
      </c>
      <c r="B758" s="71">
        <v>512</v>
      </c>
      <c r="C758" s="73">
        <v>729</v>
      </c>
    </row>
    <row r="759" spans="1:3" hidden="1">
      <c r="A759" s="119">
        <v>712</v>
      </c>
      <c r="B759" s="71">
        <v>512</v>
      </c>
      <c r="C759" s="73">
        <v>729</v>
      </c>
    </row>
    <row r="760" spans="1:3" hidden="1">
      <c r="A760" s="119">
        <v>713</v>
      </c>
      <c r="B760" s="71">
        <v>512</v>
      </c>
      <c r="C760" s="73">
        <v>729</v>
      </c>
    </row>
    <row r="761" spans="1:3" hidden="1">
      <c r="A761" s="119">
        <v>714</v>
      </c>
      <c r="B761" s="71">
        <v>512</v>
      </c>
      <c r="C761" s="73">
        <v>729</v>
      </c>
    </row>
    <row r="762" spans="1:3" hidden="1">
      <c r="A762" s="119">
        <v>715</v>
      </c>
      <c r="B762" s="71">
        <v>512</v>
      </c>
      <c r="C762" s="73">
        <v>729</v>
      </c>
    </row>
    <row r="763" spans="1:3" hidden="1">
      <c r="A763" s="119">
        <v>716</v>
      </c>
      <c r="B763" s="71">
        <v>512</v>
      </c>
      <c r="C763" s="73">
        <v>729</v>
      </c>
    </row>
    <row r="764" spans="1:3" hidden="1">
      <c r="A764" s="119">
        <v>717</v>
      </c>
      <c r="B764" s="71">
        <v>512</v>
      </c>
      <c r="C764" s="73">
        <v>729</v>
      </c>
    </row>
    <row r="765" spans="1:3" hidden="1">
      <c r="A765" s="119">
        <v>718</v>
      </c>
      <c r="B765" s="71">
        <v>512</v>
      </c>
      <c r="C765" s="73">
        <v>729</v>
      </c>
    </row>
    <row r="766" spans="1:3" hidden="1">
      <c r="A766" s="119">
        <v>719</v>
      </c>
      <c r="B766" s="71">
        <v>512</v>
      </c>
      <c r="C766" s="73">
        <v>729</v>
      </c>
    </row>
    <row r="767" spans="1:3" hidden="1">
      <c r="A767" s="119">
        <v>720</v>
      </c>
      <c r="B767" s="71">
        <v>512</v>
      </c>
      <c r="C767" s="73">
        <v>729</v>
      </c>
    </row>
    <row r="768" spans="1:3" hidden="1">
      <c r="A768" s="119">
        <v>721</v>
      </c>
      <c r="B768" s="71">
        <v>512</v>
      </c>
      <c r="C768" s="73">
        <v>729</v>
      </c>
    </row>
    <row r="769" spans="1:3" hidden="1">
      <c r="A769" s="119">
        <v>722</v>
      </c>
      <c r="B769" s="71">
        <v>512</v>
      </c>
      <c r="C769" s="73">
        <v>729</v>
      </c>
    </row>
    <row r="770" spans="1:3" hidden="1">
      <c r="A770" s="119">
        <v>723</v>
      </c>
      <c r="B770" s="71">
        <v>512</v>
      </c>
      <c r="C770" s="73">
        <v>729</v>
      </c>
    </row>
    <row r="771" spans="1:3" hidden="1">
      <c r="A771" s="119">
        <v>724</v>
      </c>
      <c r="B771" s="71">
        <v>512</v>
      </c>
      <c r="C771" s="73">
        <v>729</v>
      </c>
    </row>
    <row r="772" spans="1:3" hidden="1">
      <c r="A772" s="119">
        <v>725</v>
      </c>
      <c r="B772" s="71">
        <v>512</v>
      </c>
      <c r="C772" s="73">
        <v>729</v>
      </c>
    </row>
    <row r="773" spans="1:3" hidden="1">
      <c r="A773" s="119">
        <v>726</v>
      </c>
      <c r="B773" s="71">
        <v>512</v>
      </c>
      <c r="C773" s="73">
        <v>729</v>
      </c>
    </row>
    <row r="774" spans="1:3" hidden="1">
      <c r="A774" s="119">
        <v>727</v>
      </c>
      <c r="B774" s="71">
        <v>512</v>
      </c>
      <c r="C774" s="73">
        <v>729</v>
      </c>
    </row>
    <row r="775" spans="1:3" hidden="1">
      <c r="A775" s="119">
        <v>728</v>
      </c>
      <c r="B775" s="71">
        <v>512</v>
      </c>
      <c r="C775" s="73">
        <v>729</v>
      </c>
    </row>
    <row r="776" spans="1:3" hidden="1">
      <c r="A776" s="119">
        <v>729</v>
      </c>
      <c r="B776" s="71">
        <v>729</v>
      </c>
      <c r="C776" s="73">
        <v>999</v>
      </c>
    </row>
    <row r="777" spans="1:3" hidden="1">
      <c r="A777" s="119">
        <v>730</v>
      </c>
      <c r="B777" s="71">
        <v>729</v>
      </c>
      <c r="C777" s="73">
        <v>999</v>
      </c>
    </row>
    <row r="778" spans="1:3" hidden="1">
      <c r="A778" s="119">
        <v>731</v>
      </c>
      <c r="B778" s="71">
        <v>729</v>
      </c>
      <c r="C778" s="73">
        <v>999</v>
      </c>
    </row>
    <row r="779" spans="1:3" hidden="1">
      <c r="A779" s="119">
        <v>732</v>
      </c>
      <c r="B779" s="71">
        <v>729</v>
      </c>
      <c r="C779" s="73">
        <v>999</v>
      </c>
    </row>
    <row r="780" spans="1:3" hidden="1">
      <c r="A780" s="119">
        <v>733</v>
      </c>
      <c r="B780" s="71">
        <v>729</v>
      </c>
      <c r="C780" s="73">
        <v>999</v>
      </c>
    </row>
    <row r="781" spans="1:3" hidden="1">
      <c r="A781" s="119">
        <v>734</v>
      </c>
      <c r="B781" s="71">
        <v>729</v>
      </c>
      <c r="C781" s="73">
        <v>999</v>
      </c>
    </row>
    <row r="782" spans="1:3" hidden="1">
      <c r="A782" s="119">
        <v>735</v>
      </c>
      <c r="B782" s="71">
        <v>729</v>
      </c>
      <c r="C782" s="73">
        <v>999</v>
      </c>
    </row>
    <row r="783" spans="1:3" hidden="1">
      <c r="A783" s="119">
        <v>736</v>
      </c>
      <c r="B783" s="71">
        <v>729</v>
      </c>
      <c r="C783" s="73">
        <v>999</v>
      </c>
    </row>
    <row r="784" spans="1:3" hidden="1">
      <c r="A784" s="119">
        <v>737</v>
      </c>
      <c r="B784" s="71">
        <v>729</v>
      </c>
      <c r="C784" s="73">
        <v>999</v>
      </c>
    </row>
    <row r="785" spans="1:3" hidden="1">
      <c r="A785" s="119">
        <v>738</v>
      </c>
      <c r="B785" s="71">
        <v>729</v>
      </c>
      <c r="C785" s="73">
        <v>999</v>
      </c>
    </row>
    <row r="786" spans="1:3" hidden="1">
      <c r="A786" s="119">
        <v>739</v>
      </c>
      <c r="B786" s="71">
        <v>729</v>
      </c>
      <c r="C786" s="73">
        <v>999</v>
      </c>
    </row>
    <row r="787" spans="1:3" hidden="1">
      <c r="A787" s="119">
        <v>740</v>
      </c>
      <c r="B787" s="71">
        <v>729</v>
      </c>
      <c r="C787" s="73">
        <v>999</v>
      </c>
    </row>
    <row r="788" spans="1:3" hidden="1">
      <c r="A788" s="119">
        <v>741</v>
      </c>
      <c r="B788" s="71">
        <v>729</v>
      </c>
      <c r="C788" s="73">
        <v>999</v>
      </c>
    </row>
    <row r="789" spans="1:3" hidden="1">
      <c r="A789" s="119">
        <v>742</v>
      </c>
      <c r="B789" s="71">
        <v>729</v>
      </c>
      <c r="C789" s="73">
        <v>999</v>
      </c>
    </row>
    <row r="790" spans="1:3" hidden="1">
      <c r="A790" s="119">
        <v>743</v>
      </c>
      <c r="B790" s="71">
        <v>729</v>
      </c>
      <c r="C790" s="73">
        <v>999</v>
      </c>
    </row>
    <row r="791" spans="1:3" hidden="1">
      <c r="A791" s="119">
        <v>744</v>
      </c>
      <c r="B791" s="71">
        <v>729</v>
      </c>
      <c r="C791" s="73">
        <v>999</v>
      </c>
    </row>
    <row r="792" spans="1:3" hidden="1">
      <c r="A792" s="119">
        <v>745</v>
      </c>
      <c r="B792" s="71">
        <v>729</v>
      </c>
      <c r="C792" s="73">
        <v>999</v>
      </c>
    </row>
    <row r="793" spans="1:3" hidden="1">
      <c r="A793" s="119">
        <v>746</v>
      </c>
      <c r="B793" s="71">
        <v>729</v>
      </c>
      <c r="C793" s="73">
        <v>999</v>
      </c>
    </row>
    <row r="794" spans="1:3" hidden="1">
      <c r="A794" s="119">
        <v>747</v>
      </c>
      <c r="B794" s="71">
        <v>729</v>
      </c>
      <c r="C794" s="73">
        <v>999</v>
      </c>
    </row>
    <row r="795" spans="1:3" hidden="1">
      <c r="A795" s="119">
        <v>748</v>
      </c>
      <c r="B795" s="71">
        <v>729</v>
      </c>
      <c r="C795" s="73">
        <v>999</v>
      </c>
    </row>
    <row r="796" spans="1:3" hidden="1">
      <c r="A796" s="119">
        <v>749</v>
      </c>
      <c r="B796" s="71">
        <v>729</v>
      </c>
      <c r="C796" s="73">
        <v>999</v>
      </c>
    </row>
    <row r="797" spans="1:3" hidden="1">
      <c r="A797" s="119">
        <v>750</v>
      </c>
      <c r="B797" s="71">
        <v>729</v>
      </c>
      <c r="C797" s="73">
        <v>999</v>
      </c>
    </row>
    <row r="798" spans="1:3" hidden="1">
      <c r="A798" s="119">
        <v>751</v>
      </c>
      <c r="B798" s="71">
        <v>729</v>
      </c>
      <c r="C798" s="73">
        <v>999</v>
      </c>
    </row>
    <row r="799" spans="1:3" hidden="1">
      <c r="A799" s="119">
        <v>752</v>
      </c>
      <c r="B799" s="71">
        <v>729</v>
      </c>
      <c r="C799" s="73">
        <v>999</v>
      </c>
    </row>
    <row r="800" spans="1:3" hidden="1">
      <c r="A800" s="119">
        <v>753</v>
      </c>
      <c r="B800" s="71">
        <v>729</v>
      </c>
      <c r="C800" s="73">
        <v>999</v>
      </c>
    </row>
    <row r="801" spans="1:3" hidden="1">
      <c r="A801" s="119">
        <v>754</v>
      </c>
      <c r="B801" s="71">
        <v>729</v>
      </c>
      <c r="C801" s="73">
        <v>999</v>
      </c>
    </row>
    <row r="802" spans="1:3" hidden="1">
      <c r="A802" s="119">
        <v>755</v>
      </c>
      <c r="B802" s="71">
        <v>729</v>
      </c>
      <c r="C802" s="73">
        <v>999</v>
      </c>
    </row>
    <row r="803" spans="1:3" hidden="1">
      <c r="A803" s="119">
        <v>756</v>
      </c>
      <c r="B803" s="71">
        <v>729</v>
      </c>
      <c r="C803" s="73">
        <v>999</v>
      </c>
    </row>
    <row r="804" spans="1:3" hidden="1">
      <c r="A804" s="119">
        <v>757</v>
      </c>
      <c r="B804" s="71">
        <v>729</v>
      </c>
      <c r="C804" s="73">
        <v>999</v>
      </c>
    </row>
    <row r="805" spans="1:3" hidden="1">
      <c r="A805" s="119">
        <v>758</v>
      </c>
      <c r="B805" s="71">
        <v>729</v>
      </c>
      <c r="C805" s="73">
        <v>999</v>
      </c>
    </row>
    <row r="806" spans="1:3" hidden="1">
      <c r="A806" s="119">
        <v>759</v>
      </c>
      <c r="B806" s="71">
        <v>729</v>
      </c>
      <c r="C806" s="73">
        <v>999</v>
      </c>
    </row>
    <row r="807" spans="1:3" hidden="1">
      <c r="A807" s="119">
        <v>760</v>
      </c>
      <c r="B807" s="71">
        <v>729</v>
      </c>
      <c r="C807" s="73">
        <v>999</v>
      </c>
    </row>
    <row r="808" spans="1:3" hidden="1">
      <c r="A808" s="119">
        <v>761</v>
      </c>
      <c r="B808" s="71">
        <v>729</v>
      </c>
      <c r="C808" s="73">
        <v>999</v>
      </c>
    </row>
    <row r="809" spans="1:3" hidden="1">
      <c r="A809" s="119">
        <v>762</v>
      </c>
      <c r="B809" s="71">
        <v>729</v>
      </c>
      <c r="C809" s="73">
        <v>999</v>
      </c>
    </row>
    <row r="810" spans="1:3" hidden="1">
      <c r="A810" s="119">
        <v>763</v>
      </c>
      <c r="B810" s="71">
        <v>729</v>
      </c>
      <c r="C810" s="73">
        <v>999</v>
      </c>
    </row>
    <row r="811" spans="1:3" hidden="1">
      <c r="A811" s="119">
        <v>764</v>
      </c>
      <c r="B811" s="71">
        <v>729</v>
      </c>
      <c r="C811" s="73">
        <v>999</v>
      </c>
    </row>
    <row r="812" spans="1:3" hidden="1">
      <c r="A812" s="119">
        <v>765</v>
      </c>
      <c r="B812" s="71">
        <v>729</v>
      </c>
      <c r="C812" s="73">
        <v>999</v>
      </c>
    </row>
    <row r="813" spans="1:3" hidden="1">
      <c r="A813" s="119">
        <v>766</v>
      </c>
      <c r="B813" s="71">
        <v>729</v>
      </c>
      <c r="C813" s="73">
        <v>999</v>
      </c>
    </row>
    <row r="814" spans="1:3" hidden="1">
      <c r="A814" s="119">
        <v>767</v>
      </c>
      <c r="B814" s="71">
        <v>729</v>
      </c>
      <c r="C814" s="73">
        <v>999</v>
      </c>
    </row>
    <row r="815" spans="1:3" hidden="1">
      <c r="A815" s="119">
        <v>768</v>
      </c>
      <c r="B815" s="71">
        <v>729</v>
      </c>
      <c r="C815" s="73">
        <v>999</v>
      </c>
    </row>
    <row r="816" spans="1:3" hidden="1">
      <c r="A816" s="119">
        <v>769</v>
      </c>
      <c r="B816" s="71">
        <v>729</v>
      </c>
      <c r="C816" s="73">
        <v>999</v>
      </c>
    </row>
    <row r="817" spans="1:3" hidden="1">
      <c r="A817" s="119">
        <v>770</v>
      </c>
      <c r="B817" s="71">
        <v>729</v>
      </c>
      <c r="C817" s="73">
        <v>999</v>
      </c>
    </row>
    <row r="818" spans="1:3" hidden="1">
      <c r="A818" s="119">
        <v>771</v>
      </c>
      <c r="B818" s="71">
        <v>729</v>
      </c>
      <c r="C818" s="73">
        <v>999</v>
      </c>
    </row>
    <row r="819" spans="1:3" hidden="1">
      <c r="A819" s="119">
        <v>772</v>
      </c>
      <c r="B819" s="71">
        <v>729</v>
      </c>
      <c r="C819" s="73">
        <v>999</v>
      </c>
    </row>
    <row r="820" spans="1:3" hidden="1">
      <c r="A820" s="119">
        <v>773</v>
      </c>
      <c r="B820" s="71">
        <v>729</v>
      </c>
      <c r="C820" s="73">
        <v>999</v>
      </c>
    </row>
    <row r="821" spans="1:3" hidden="1">
      <c r="A821" s="119">
        <v>774</v>
      </c>
      <c r="B821" s="71">
        <v>729</v>
      </c>
      <c r="C821" s="73">
        <v>999</v>
      </c>
    </row>
    <row r="822" spans="1:3" hidden="1">
      <c r="A822" s="119">
        <v>775</v>
      </c>
      <c r="B822" s="71">
        <v>729</v>
      </c>
      <c r="C822" s="73">
        <v>999</v>
      </c>
    </row>
    <row r="823" spans="1:3" hidden="1">
      <c r="A823" s="119">
        <v>776</v>
      </c>
      <c r="B823" s="71">
        <v>729</v>
      </c>
      <c r="C823" s="73">
        <v>999</v>
      </c>
    </row>
    <row r="824" spans="1:3" hidden="1">
      <c r="A824" s="119">
        <v>777</v>
      </c>
      <c r="B824" s="71">
        <v>729</v>
      </c>
      <c r="C824" s="73">
        <v>999</v>
      </c>
    </row>
    <row r="825" spans="1:3" hidden="1">
      <c r="A825" s="119">
        <v>778</v>
      </c>
      <c r="B825" s="71">
        <v>729</v>
      </c>
      <c r="C825" s="73">
        <v>999</v>
      </c>
    </row>
    <row r="826" spans="1:3" hidden="1">
      <c r="A826" s="119">
        <v>779</v>
      </c>
      <c r="B826" s="71">
        <v>729</v>
      </c>
      <c r="C826" s="73">
        <v>999</v>
      </c>
    </row>
    <row r="827" spans="1:3" hidden="1">
      <c r="A827" s="119">
        <v>780</v>
      </c>
      <c r="B827" s="71">
        <v>729</v>
      </c>
      <c r="C827" s="73">
        <v>999</v>
      </c>
    </row>
    <row r="828" spans="1:3" hidden="1">
      <c r="A828" s="119">
        <v>781</v>
      </c>
      <c r="B828" s="71">
        <v>729</v>
      </c>
      <c r="C828" s="73">
        <v>999</v>
      </c>
    </row>
    <row r="829" spans="1:3" hidden="1">
      <c r="A829" s="119">
        <v>782</v>
      </c>
      <c r="B829" s="71">
        <v>729</v>
      </c>
      <c r="C829" s="73">
        <v>999</v>
      </c>
    </row>
    <row r="830" spans="1:3" hidden="1">
      <c r="A830" s="119">
        <v>783</v>
      </c>
      <c r="B830" s="71">
        <v>729</v>
      </c>
      <c r="C830" s="73">
        <v>999</v>
      </c>
    </row>
    <row r="831" spans="1:3" hidden="1">
      <c r="A831" s="119">
        <v>784</v>
      </c>
      <c r="B831" s="71">
        <v>729</v>
      </c>
      <c r="C831" s="73">
        <v>999</v>
      </c>
    </row>
    <row r="832" spans="1:3" hidden="1">
      <c r="A832" s="119">
        <v>785</v>
      </c>
      <c r="B832" s="71">
        <v>729</v>
      </c>
      <c r="C832" s="73">
        <v>999</v>
      </c>
    </row>
    <row r="833" spans="1:3" hidden="1">
      <c r="A833" s="119">
        <v>786</v>
      </c>
      <c r="B833" s="71">
        <v>729</v>
      </c>
      <c r="C833" s="73">
        <v>999</v>
      </c>
    </row>
    <row r="834" spans="1:3" hidden="1">
      <c r="A834" s="119">
        <v>787</v>
      </c>
      <c r="B834" s="71">
        <v>729</v>
      </c>
      <c r="C834" s="73">
        <v>999</v>
      </c>
    </row>
    <row r="835" spans="1:3" hidden="1">
      <c r="A835" s="119">
        <v>788</v>
      </c>
      <c r="B835" s="71">
        <v>729</v>
      </c>
      <c r="C835" s="73">
        <v>999</v>
      </c>
    </row>
    <row r="836" spans="1:3" hidden="1">
      <c r="A836" s="119">
        <v>789</v>
      </c>
      <c r="B836" s="71">
        <v>729</v>
      </c>
      <c r="C836" s="73">
        <v>999</v>
      </c>
    </row>
    <row r="837" spans="1:3" hidden="1">
      <c r="A837" s="119">
        <v>790</v>
      </c>
      <c r="B837" s="71">
        <v>729</v>
      </c>
      <c r="C837" s="73">
        <v>999</v>
      </c>
    </row>
    <row r="838" spans="1:3" hidden="1">
      <c r="A838" s="119">
        <v>791</v>
      </c>
      <c r="B838" s="71">
        <v>729</v>
      </c>
      <c r="C838" s="73">
        <v>999</v>
      </c>
    </row>
    <row r="839" spans="1:3" hidden="1">
      <c r="A839" s="119">
        <v>792</v>
      </c>
      <c r="B839" s="71">
        <v>729</v>
      </c>
      <c r="C839" s="73">
        <v>999</v>
      </c>
    </row>
    <row r="840" spans="1:3" hidden="1">
      <c r="A840" s="119">
        <v>793</v>
      </c>
      <c r="B840" s="71">
        <v>729</v>
      </c>
      <c r="C840" s="73">
        <v>999</v>
      </c>
    </row>
    <row r="841" spans="1:3" hidden="1">
      <c r="A841" s="119">
        <v>794</v>
      </c>
      <c r="B841" s="71">
        <v>729</v>
      </c>
      <c r="C841" s="73">
        <v>999</v>
      </c>
    </row>
    <row r="842" spans="1:3" hidden="1">
      <c r="A842" s="119">
        <v>795</v>
      </c>
      <c r="B842" s="71">
        <v>729</v>
      </c>
      <c r="C842" s="73">
        <v>999</v>
      </c>
    </row>
    <row r="843" spans="1:3" hidden="1">
      <c r="A843" s="119">
        <v>796</v>
      </c>
      <c r="B843" s="71">
        <v>729</v>
      </c>
      <c r="C843" s="73">
        <v>999</v>
      </c>
    </row>
    <row r="844" spans="1:3" hidden="1">
      <c r="A844" s="119">
        <v>797</v>
      </c>
      <c r="B844" s="71">
        <v>729</v>
      </c>
      <c r="C844" s="73">
        <v>999</v>
      </c>
    </row>
    <row r="845" spans="1:3" hidden="1">
      <c r="A845" s="119">
        <v>798</v>
      </c>
      <c r="B845" s="71">
        <v>729</v>
      </c>
      <c r="C845" s="73">
        <v>999</v>
      </c>
    </row>
    <row r="846" spans="1:3" hidden="1">
      <c r="A846" s="119">
        <v>799</v>
      </c>
      <c r="B846" s="71">
        <v>729</v>
      </c>
      <c r="C846" s="73">
        <v>999</v>
      </c>
    </row>
    <row r="847" spans="1:3" hidden="1">
      <c r="A847" s="119">
        <v>800</v>
      </c>
      <c r="B847" s="71">
        <v>729</v>
      </c>
      <c r="C847" s="73">
        <v>999</v>
      </c>
    </row>
    <row r="848" spans="1:3" hidden="1">
      <c r="A848" s="119">
        <v>801</v>
      </c>
      <c r="B848" s="71">
        <v>729</v>
      </c>
      <c r="C848" s="73">
        <v>999</v>
      </c>
    </row>
    <row r="849" spans="1:3" hidden="1">
      <c r="A849" s="119">
        <v>802</v>
      </c>
      <c r="B849" s="71">
        <v>729</v>
      </c>
      <c r="C849" s="73">
        <v>999</v>
      </c>
    </row>
    <row r="850" spans="1:3" hidden="1">
      <c r="A850" s="119">
        <v>803</v>
      </c>
      <c r="B850" s="71">
        <v>729</v>
      </c>
      <c r="C850" s="73">
        <v>999</v>
      </c>
    </row>
    <row r="851" spans="1:3" hidden="1">
      <c r="A851" s="119">
        <v>804</v>
      </c>
      <c r="B851" s="71">
        <v>729</v>
      </c>
      <c r="C851" s="73">
        <v>999</v>
      </c>
    </row>
    <row r="852" spans="1:3" hidden="1">
      <c r="A852" s="119">
        <v>805</v>
      </c>
      <c r="B852" s="71">
        <v>729</v>
      </c>
      <c r="C852" s="73">
        <v>999</v>
      </c>
    </row>
    <row r="853" spans="1:3" hidden="1">
      <c r="A853" s="119">
        <v>806</v>
      </c>
      <c r="B853" s="71">
        <v>729</v>
      </c>
      <c r="C853" s="73">
        <v>999</v>
      </c>
    </row>
    <row r="854" spans="1:3" hidden="1">
      <c r="A854" s="119">
        <v>807</v>
      </c>
      <c r="B854" s="71">
        <v>729</v>
      </c>
      <c r="C854" s="73">
        <v>999</v>
      </c>
    </row>
    <row r="855" spans="1:3" hidden="1">
      <c r="A855" s="119">
        <v>808</v>
      </c>
      <c r="B855" s="71">
        <v>729</v>
      </c>
      <c r="C855" s="73">
        <v>999</v>
      </c>
    </row>
    <row r="856" spans="1:3" hidden="1">
      <c r="A856" s="119">
        <v>809</v>
      </c>
      <c r="B856" s="71">
        <v>729</v>
      </c>
      <c r="C856" s="73">
        <v>999</v>
      </c>
    </row>
    <row r="857" spans="1:3" hidden="1">
      <c r="A857" s="119">
        <v>810</v>
      </c>
      <c r="B857" s="71">
        <v>729</v>
      </c>
      <c r="C857" s="73">
        <v>999</v>
      </c>
    </row>
    <row r="858" spans="1:3" hidden="1">
      <c r="A858" s="119">
        <v>811</v>
      </c>
      <c r="B858" s="71">
        <v>729</v>
      </c>
      <c r="C858" s="73">
        <v>999</v>
      </c>
    </row>
    <row r="859" spans="1:3" hidden="1">
      <c r="A859" s="119">
        <v>812</v>
      </c>
      <c r="B859" s="71">
        <v>729</v>
      </c>
      <c r="C859" s="73">
        <v>999</v>
      </c>
    </row>
    <row r="860" spans="1:3" hidden="1">
      <c r="A860" s="119">
        <v>813</v>
      </c>
      <c r="B860" s="71">
        <v>729</v>
      </c>
      <c r="C860" s="73">
        <v>999</v>
      </c>
    </row>
    <row r="861" spans="1:3" hidden="1">
      <c r="A861" s="119">
        <v>814</v>
      </c>
      <c r="B861" s="71">
        <v>729</v>
      </c>
      <c r="C861" s="73">
        <v>999</v>
      </c>
    </row>
    <row r="862" spans="1:3" hidden="1">
      <c r="A862" s="119">
        <v>815</v>
      </c>
      <c r="B862" s="71">
        <v>729</v>
      </c>
      <c r="C862" s="73">
        <v>999</v>
      </c>
    </row>
    <row r="863" spans="1:3" hidden="1">
      <c r="A863" s="119">
        <v>816</v>
      </c>
      <c r="B863" s="71">
        <v>729</v>
      </c>
      <c r="C863" s="73">
        <v>999</v>
      </c>
    </row>
    <row r="864" spans="1:3" hidden="1">
      <c r="A864" s="119">
        <v>817</v>
      </c>
      <c r="B864" s="71">
        <v>729</v>
      </c>
      <c r="C864" s="73">
        <v>999</v>
      </c>
    </row>
    <row r="865" spans="1:3" hidden="1">
      <c r="A865" s="119">
        <v>818</v>
      </c>
      <c r="B865" s="71">
        <v>729</v>
      </c>
      <c r="C865" s="73">
        <v>999</v>
      </c>
    </row>
    <row r="866" spans="1:3" hidden="1">
      <c r="A866" s="119">
        <v>819</v>
      </c>
      <c r="B866" s="71">
        <v>729</v>
      </c>
      <c r="C866" s="73">
        <v>999</v>
      </c>
    </row>
    <row r="867" spans="1:3" hidden="1">
      <c r="A867" s="119">
        <v>820</v>
      </c>
      <c r="B867" s="71">
        <v>729</v>
      </c>
      <c r="C867" s="73">
        <v>999</v>
      </c>
    </row>
    <row r="868" spans="1:3" hidden="1">
      <c r="A868" s="119">
        <v>821</v>
      </c>
      <c r="B868" s="71">
        <v>729</v>
      </c>
      <c r="C868" s="73">
        <v>999</v>
      </c>
    </row>
    <row r="869" spans="1:3" hidden="1">
      <c r="A869" s="119">
        <v>822</v>
      </c>
      <c r="B869" s="71">
        <v>729</v>
      </c>
      <c r="C869" s="73">
        <v>999</v>
      </c>
    </row>
    <row r="870" spans="1:3" hidden="1">
      <c r="A870" s="119">
        <v>823</v>
      </c>
      <c r="B870" s="71">
        <v>729</v>
      </c>
      <c r="C870" s="73">
        <v>999</v>
      </c>
    </row>
    <row r="871" spans="1:3" hidden="1">
      <c r="A871" s="119">
        <v>824</v>
      </c>
      <c r="B871" s="71">
        <v>729</v>
      </c>
      <c r="C871" s="73">
        <v>999</v>
      </c>
    </row>
    <row r="872" spans="1:3" hidden="1">
      <c r="A872" s="119">
        <v>825</v>
      </c>
      <c r="B872" s="71">
        <v>729</v>
      </c>
      <c r="C872" s="73">
        <v>999</v>
      </c>
    </row>
    <row r="873" spans="1:3" hidden="1">
      <c r="A873" s="119">
        <v>826</v>
      </c>
      <c r="B873" s="71">
        <v>729</v>
      </c>
      <c r="C873" s="73">
        <v>999</v>
      </c>
    </row>
    <row r="874" spans="1:3" hidden="1">
      <c r="A874" s="119">
        <v>827</v>
      </c>
      <c r="B874" s="71">
        <v>729</v>
      </c>
      <c r="C874" s="73">
        <v>999</v>
      </c>
    </row>
    <row r="875" spans="1:3" hidden="1">
      <c r="A875" s="119">
        <v>828</v>
      </c>
      <c r="B875" s="71">
        <v>729</v>
      </c>
      <c r="C875" s="73">
        <v>999</v>
      </c>
    </row>
    <row r="876" spans="1:3" hidden="1">
      <c r="A876" s="119">
        <v>829</v>
      </c>
      <c r="B876" s="71">
        <v>729</v>
      </c>
      <c r="C876" s="73">
        <v>999</v>
      </c>
    </row>
    <row r="877" spans="1:3" hidden="1">
      <c r="A877" s="119">
        <v>830</v>
      </c>
      <c r="B877" s="71">
        <v>729</v>
      </c>
      <c r="C877" s="73">
        <v>999</v>
      </c>
    </row>
    <row r="878" spans="1:3" hidden="1">
      <c r="A878" s="119">
        <v>831</v>
      </c>
      <c r="B878" s="71">
        <v>729</v>
      </c>
      <c r="C878" s="73">
        <v>999</v>
      </c>
    </row>
    <row r="879" spans="1:3" hidden="1">
      <c r="A879" s="119">
        <v>832</v>
      </c>
      <c r="B879" s="71">
        <v>729</v>
      </c>
      <c r="C879" s="73">
        <v>999</v>
      </c>
    </row>
    <row r="880" spans="1:3" hidden="1">
      <c r="A880" s="119">
        <v>833</v>
      </c>
      <c r="B880" s="71">
        <v>729</v>
      </c>
      <c r="C880" s="73">
        <v>999</v>
      </c>
    </row>
    <row r="881" spans="1:3" hidden="1">
      <c r="A881" s="119">
        <v>834</v>
      </c>
      <c r="B881" s="71">
        <v>729</v>
      </c>
      <c r="C881" s="73">
        <v>999</v>
      </c>
    </row>
    <row r="882" spans="1:3" hidden="1">
      <c r="A882" s="119">
        <v>835</v>
      </c>
      <c r="B882" s="71">
        <v>729</v>
      </c>
      <c r="C882" s="73">
        <v>999</v>
      </c>
    </row>
    <row r="883" spans="1:3" hidden="1">
      <c r="A883" s="119">
        <v>836</v>
      </c>
      <c r="B883" s="71">
        <v>729</v>
      </c>
      <c r="C883" s="73">
        <v>999</v>
      </c>
    </row>
    <row r="884" spans="1:3" hidden="1">
      <c r="A884" s="119">
        <v>837</v>
      </c>
      <c r="B884" s="71">
        <v>729</v>
      </c>
      <c r="C884" s="73">
        <v>999</v>
      </c>
    </row>
    <row r="885" spans="1:3" hidden="1">
      <c r="A885" s="119">
        <v>838</v>
      </c>
      <c r="B885" s="71">
        <v>729</v>
      </c>
      <c r="C885" s="73">
        <v>999</v>
      </c>
    </row>
    <row r="886" spans="1:3" hidden="1">
      <c r="A886" s="119">
        <v>839</v>
      </c>
      <c r="B886" s="71">
        <v>729</v>
      </c>
      <c r="C886" s="73">
        <v>999</v>
      </c>
    </row>
    <row r="887" spans="1:3" hidden="1">
      <c r="A887" s="119">
        <v>840</v>
      </c>
      <c r="B887" s="71">
        <v>729</v>
      </c>
      <c r="C887" s="73">
        <v>999</v>
      </c>
    </row>
    <row r="888" spans="1:3" hidden="1">
      <c r="A888" s="119">
        <v>841</v>
      </c>
      <c r="B888" s="71">
        <v>729</v>
      </c>
      <c r="C888" s="73">
        <v>999</v>
      </c>
    </row>
    <row r="889" spans="1:3" hidden="1">
      <c r="A889" s="119">
        <v>842</v>
      </c>
      <c r="B889" s="71">
        <v>729</v>
      </c>
      <c r="C889" s="73">
        <v>999</v>
      </c>
    </row>
    <row r="890" spans="1:3" hidden="1">
      <c r="A890" s="119">
        <v>843</v>
      </c>
      <c r="B890" s="71">
        <v>729</v>
      </c>
      <c r="C890" s="73">
        <v>999</v>
      </c>
    </row>
    <row r="891" spans="1:3" hidden="1">
      <c r="A891" s="119">
        <v>844</v>
      </c>
      <c r="B891" s="71">
        <v>729</v>
      </c>
      <c r="C891" s="73">
        <v>999</v>
      </c>
    </row>
    <row r="892" spans="1:3" hidden="1">
      <c r="A892" s="119">
        <v>845</v>
      </c>
      <c r="B892" s="71">
        <v>729</v>
      </c>
      <c r="C892" s="73">
        <v>999</v>
      </c>
    </row>
    <row r="893" spans="1:3" hidden="1">
      <c r="A893" s="119">
        <v>846</v>
      </c>
      <c r="B893" s="71">
        <v>729</v>
      </c>
      <c r="C893" s="73">
        <v>999</v>
      </c>
    </row>
    <row r="894" spans="1:3" hidden="1">
      <c r="A894" s="119">
        <v>847</v>
      </c>
      <c r="B894" s="71">
        <v>729</v>
      </c>
      <c r="C894" s="73">
        <v>999</v>
      </c>
    </row>
    <row r="895" spans="1:3" hidden="1">
      <c r="A895" s="119">
        <v>848</v>
      </c>
      <c r="B895" s="71">
        <v>729</v>
      </c>
      <c r="C895" s="73">
        <v>999</v>
      </c>
    </row>
    <row r="896" spans="1:3" hidden="1">
      <c r="A896" s="119">
        <v>849</v>
      </c>
      <c r="B896" s="71">
        <v>729</v>
      </c>
      <c r="C896" s="73">
        <v>999</v>
      </c>
    </row>
    <row r="897" spans="1:3" hidden="1">
      <c r="A897" s="119">
        <v>850</v>
      </c>
      <c r="B897" s="71">
        <v>729</v>
      </c>
      <c r="C897" s="73">
        <v>999</v>
      </c>
    </row>
    <row r="898" spans="1:3" hidden="1">
      <c r="A898" s="119">
        <v>851</v>
      </c>
      <c r="B898" s="71">
        <v>729</v>
      </c>
      <c r="C898" s="73">
        <v>999</v>
      </c>
    </row>
    <row r="899" spans="1:3" hidden="1">
      <c r="A899" s="119">
        <v>852</v>
      </c>
      <c r="B899" s="71">
        <v>729</v>
      </c>
      <c r="C899" s="73">
        <v>999</v>
      </c>
    </row>
    <row r="900" spans="1:3" hidden="1">
      <c r="A900" s="119">
        <v>853</v>
      </c>
      <c r="B900" s="71">
        <v>729</v>
      </c>
      <c r="C900" s="73">
        <v>999</v>
      </c>
    </row>
    <row r="901" spans="1:3" hidden="1">
      <c r="A901" s="119">
        <v>854</v>
      </c>
      <c r="B901" s="71">
        <v>729</v>
      </c>
      <c r="C901" s="73">
        <v>999</v>
      </c>
    </row>
    <row r="902" spans="1:3" hidden="1">
      <c r="A902" s="119">
        <v>855</v>
      </c>
      <c r="B902" s="71">
        <v>729</v>
      </c>
      <c r="C902" s="73">
        <v>999</v>
      </c>
    </row>
    <row r="903" spans="1:3" hidden="1">
      <c r="A903" s="119">
        <v>856</v>
      </c>
      <c r="B903" s="71">
        <v>729</v>
      </c>
      <c r="C903" s="73">
        <v>999</v>
      </c>
    </row>
    <row r="904" spans="1:3" hidden="1">
      <c r="A904" s="119">
        <v>857</v>
      </c>
      <c r="B904" s="71">
        <v>729</v>
      </c>
      <c r="C904" s="73">
        <v>999</v>
      </c>
    </row>
    <row r="905" spans="1:3" hidden="1">
      <c r="A905" s="119">
        <v>858</v>
      </c>
      <c r="B905" s="71">
        <v>729</v>
      </c>
      <c r="C905" s="73">
        <v>999</v>
      </c>
    </row>
    <row r="906" spans="1:3" hidden="1">
      <c r="A906" s="119">
        <v>859</v>
      </c>
      <c r="B906" s="71">
        <v>729</v>
      </c>
      <c r="C906" s="73">
        <v>999</v>
      </c>
    </row>
    <row r="907" spans="1:3" hidden="1">
      <c r="A907" s="119">
        <v>860</v>
      </c>
      <c r="B907" s="71">
        <v>729</v>
      </c>
      <c r="C907" s="73">
        <v>999</v>
      </c>
    </row>
    <row r="908" spans="1:3" hidden="1">
      <c r="A908" s="119">
        <v>861</v>
      </c>
      <c r="B908" s="71">
        <v>729</v>
      </c>
      <c r="C908" s="73">
        <v>999</v>
      </c>
    </row>
    <row r="909" spans="1:3" hidden="1">
      <c r="A909" s="119">
        <v>862</v>
      </c>
      <c r="B909" s="71">
        <v>729</v>
      </c>
      <c r="C909" s="73">
        <v>999</v>
      </c>
    </row>
    <row r="910" spans="1:3" hidden="1">
      <c r="A910" s="119">
        <v>863</v>
      </c>
      <c r="B910" s="71">
        <v>729</v>
      </c>
      <c r="C910" s="73">
        <v>999</v>
      </c>
    </row>
    <row r="911" spans="1:3" hidden="1">
      <c r="A911" s="119">
        <v>864</v>
      </c>
      <c r="B911" s="71">
        <v>729</v>
      </c>
      <c r="C911" s="73">
        <v>999</v>
      </c>
    </row>
    <row r="912" spans="1:3" hidden="1">
      <c r="A912" s="119">
        <v>865</v>
      </c>
      <c r="B912" s="71">
        <v>729</v>
      </c>
      <c r="C912" s="73">
        <v>999</v>
      </c>
    </row>
    <row r="913" spans="1:3" hidden="1">
      <c r="A913" s="119">
        <v>866</v>
      </c>
      <c r="B913" s="71">
        <v>729</v>
      </c>
      <c r="C913" s="73">
        <v>999</v>
      </c>
    </row>
    <row r="914" spans="1:3" hidden="1">
      <c r="A914" s="119">
        <v>867</v>
      </c>
      <c r="B914" s="71">
        <v>729</v>
      </c>
      <c r="C914" s="73">
        <v>999</v>
      </c>
    </row>
    <row r="915" spans="1:3" hidden="1">
      <c r="A915" s="119">
        <v>868</v>
      </c>
      <c r="B915" s="71">
        <v>729</v>
      </c>
      <c r="C915" s="73">
        <v>999</v>
      </c>
    </row>
    <row r="916" spans="1:3" hidden="1">
      <c r="A916" s="119">
        <v>869</v>
      </c>
      <c r="B916" s="71">
        <v>729</v>
      </c>
      <c r="C916" s="73">
        <v>999</v>
      </c>
    </row>
    <row r="917" spans="1:3" hidden="1">
      <c r="A917" s="119">
        <v>870</v>
      </c>
      <c r="B917" s="71">
        <v>729</v>
      </c>
      <c r="C917" s="73">
        <v>999</v>
      </c>
    </row>
    <row r="918" spans="1:3" hidden="1">
      <c r="A918" s="119">
        <v>871</v>
      </c>
      <c r="B918" s="71">
        <v>729</v>
      </c>
      <c r="C918" s="73">
        <v>999</v>
      </c>
    </row>
    <row r="919" spans="1:3" hidden="1">
      <c r="A919" s="119">
        <v>872</v>
      </c>
      <c r="B919" s="71">
        <v>729</v>
      </c>
      <c r="C919" s="73">
        <v>999</v>
      </c>
    </row>
    <row r="920" spans="1:3" hidden="1">
      <c r="A920" s="119">
        <v>873</v>
      </c>
      <c r="B920" s="71">
        <v>729</v>
      </c>
      <c r="C920" s="73">
        <v>999</v>
      </c>
    </row>
    <row r="921" spans="1:3" hidden="1">
      <c r="A921" s="119">
        <v>874</v>
      </c>
      <c r="B921" s="71">
        <v>729</v>
      </c>
      <c r="C921" s="73">
        <v>999</v>
      </c>
    </row>
    <row r="922" spans="1:3" hidden="1">
      <c r="A922" s="119">
        <v>875</v>
      </c>
      <c r="B922" s="71">
        <v>729</v>
      </c>
      <c r="C922" s="73">
        <v>999</v>
      </c>
    </row>
    <row r="923" spans="1:3" hidden="1">
      <c r="A923" s="119">
        <v>876</v>
      </c>
      <c r="B923" s="71">
        <v>729</v>
      </c>
      <c r="C923" s="73">
        <v>999</v>
      </c>
    </row>
    <row r="924" spans="1:3" hidden="1">
      <c r="A924" s="119">
        <v>877</v>
      </c>
      <c r="B924" s="71">
        <v>729</v>
      </c>
      <c r="C924" s="73">
        <v>999</v>
      </c>
    </row>
    <row r="925" spans="1:3" hidden="1">
      <c r="A925" s="119">
        <v>878</v>
      </c>
      <c r="B925" s="71">
        <v>729</v>
      </c>
      <c r="C925" s="73">
        <v>999</v>
      </c>
    </row>
    <row r="926" spans="1:3" hidden="1">
      <c r="A926" s="119">
        <v>879</v>
      </c>
      <c r="B926" s="71">
        <v>729</v>
      </c>
      <c r="C926" s="73">
        <v>999</v>
      </c>
    </row>
    <row r="927" spans="1:3" hidden="1">
      <c r="A927" s="119">
        <v>880</v>
      </c>
      <c r="B927" s="71">
        <v>729</v>
      </c>
      <c r="C927" s="73">
        <v>999</v>
      </c>
    </row>
    <row r="928" spans="1:3" hidden="1">
      <c r="A928" s="119">
        <v>881</v>
      </c>
      <c r="B928" s="71">
        <v>729</v>
      </c>
      <c r="C928" s="73">
        <v>999</v>
      </c>
    </row>
    <row r="929" spans="1:3" hidden="1">
      <c r="A929" s="119">
        <v>882</v>
      </c>
      <c r="B929" s="71">
        <v>729</v>
      </c>
      <c r="C929" s="73">
        <v>999</v>
      </c>
    </row>
    <row r="930" spans="1:3" hidden="1">
      <c r="A930" s="119">
        <v>883</v>
      </c>
      <c r="B930" s="71">
        <v>729</v>
      </c>
      <c r="C930" s="73">
        <v>999</v>
      </c>
    </row>
    <row r="931" spans="1:3" hidden="1">
      <c r="A931" s="119">
        <v>884</v>
      </c>
      <c r="B931" s="71">
        <v>729</v>
      </c>
      <c r="C931" s="73">
        <v>999</v>
      </c>
    </row>
    <row r="932" spans="1:3" hidden="1">
      <c r="A932" s="119">
        <v>885</v>
      </c>
      <c r="B932" s="71">
        <v>729</v>
      </c>
      <c r="C932" s="73">
        <v>999</v>
      </c>
    </row>
    <row r="933" spans="1:3" hidden="1">
      <c r="A933" s="119">
        <v>886</v>
      </c>
      <c r="B933" s="71">
        <v>729</v>
      </c>
      <c r="C933" s="73">
        <v>999</v>
      </c>
    </row>
    <row r="934" spans="1:3" hidden="1">
      <c r="A934" s="119">
        <v>887</v>
      </c>
      <c r="B934" s="71">
        <v>729</v>
      </c>
      <c r="C934" s="73">
        <v>999</v>
      </c>
    </row>
    <row r="935" spans="1:3" hidden="1">
      <c r="A935" s="119">
        <v>888</v>
      </c>
      <c r="B935" s="71">
        <v>729</v>
      </c>
      <c r="C935" s="73">
        <v>999</v>
      </c>
    </row>
    <row r="936" spans="1:3" hidden="1">
      <c r="A936" s="119">
        <v>889</v>
      </c>
      <c r="B936" s="71">
        <v>729</v>
      </c>
      <c r="C936" s="73">
        <v>999</v>
      </c>
    </row>
    <row r="937" spans="1:3" hidden="1">
      <c r="A937" s="119">
        <v>890</v>
      </c>
      <c r="B937" s="71">
        <v>729</v>
      </c>
      <c r="C937" s="73">
        <v>999</v>
      </c>
    </row>
    <row r="938" spans="1:3" hidden="1">
      <c r="A938" s="119">
        <v>891</v>
      </c>
      <c r="B938" s="71">
        <v>729</v>
      </c>
      <c r="C938" s="73">
        <v>999</v>
      </c>
    </row>
    <row r="939" spans="1:3" hidden="1">
      <c r="A939" s="119">
        <v>892</v>
      </c>
      <c r="B939" s="71">
        <v>729</v>
      </c>
      <c r="C939" s="73">
        <v>999</v>
      </c>
    </row>
    <row r="940" spans="1:3" hidden="1">
      <c r="A940" s="119">
        <v>893</v>
      </c>
      <c r="B940" s="71">
        <v>729</v>
      </c>
      <c r="C940" s="73">
        <v>999</v>
      </c>
    </row>
    <row r="941" spans="1:3" hidden="1">
      <c r="A941" s="119">
        <v>894</v>
      </c>
      <c r="B941" s="71">
        <v>729</v>
      </c>
      <c r="C941" s="73">
        <v>999</v>
      </c>
    </row>
    <row r="942" spans="1:3" hidden="1">
      <c r="A942" s="119">
        <v>895</v>
      </c>
      <c r="B942" s="71">
        <v>729</v>
      </c>
      <c r="C942" s="73">
        <v>999</v>
      </c>
    </row>
    <row r="943" spans="1:3" hidden="1">
      <c r="A943" s="119">
        <v>896</v>
      </c>
      <c r="B943" s="71">
        <v>729</v>
      </c>
      <c r="C943" s="73">
        <v>999</v>
      </c>
    </row>
    <row r="944" spans="1:3" hidden="1">
      <c r="A944" s="119">
        <v>897</v>
      </c>
      <c r="B944" s="71">
        <v>729</v>
      </c>
      <c r="C944" s="73">
        <v>999</v>
      </c>
    </row>
    <row r="945" spans="1:3" hidden="1">
      <c r="A945" s="119">
        <v>898</v>
      </c>
      <c r="B945" s="71">
        <v>729</v>
      </c>
      <c r="C945" s="73">
        <v>999</v>
      </c>
    </row>
    <row r="946" spans="1:3" hidden="1">
      <c r="A946" s="119">
        <v>899</v>
      </c>
      <c r="B946" s="71">
        <v>729</v>
      </c>
      <c r="C946" s="73">
        <v>999</v>
      </c>
    </row>
    <row r="947" spans="1:3" hidden="1">
      <c r="A947" s="119">
        <v>900</v>
      </c>
      <c r="B947" s="71">
        <v>729</v>
      </c>
      <c r="C947" s="73">
        <v>999</v>
      </c>
    </row>
    <row r="948" spans="1:3" hidden="1">
      <c r="A948" s="119">
        <v>901</v>
      </c>
      <c r="B948" s="71">
        <v>729</v>
      </c>
      <c r="C948" s="73">
        <v>999</v>
      </c>
    </row>
    <row r="949" spans="1:3" hidden="1">
      <c r="A949" s="119">
        <v>902</v>
      </c>
      <c r="B949" s="71">
        <v>729</v>
      </c>
      <c r="C949" s="73">
        <v>999</v>
      </c>
    </row>
    <row r="950" spans="1:3" hidden="1">
      <c r="A950" s="119">
        <v>903</v>
      </c>
      <c r="B950" s="71">
        <v>729</v>
      </c>
      <c r="C950" s="73">
        <v>999</v>
      </c>
    </row>
    <row r="951" spans="1:3" hidden="1">
      <c r="A951" s="119">
        <v>904</v>
      </c>
      <c r="B951" s="71">
        <v>729</v>
      </c>
      <c r="C951" s="73">
        <v>999</v>
      </c>
    </row>
    <row r="952" spans="1:3" hidden="1">
      <c r="A952" s="119">
        <v>905</v>
      </c>
      <c r="B952" s="71">
        <v>729</v>
      </c>
      <c r="C952" s="73">
        <v>999</v>
      </c>
    </row>
    <row r="953" spans="1:3" hidden="1">
      <c r="A953" s="119">
        <v>906</v>
      </c>
      <c r="B953" s="71">
        <v>729</v>
      </c>
      <c r="C953" s="73">
        <v>999</v>
      </c>
    </row>
    <row r="954" spans="1:3" hidden="1">
      <c r="A954" s="119">
        <v>907</v>
      </c>
      <c r="B954" s="71">
        <v>729</v>
      </c>
      <c r="C954" s="73">
        <v>999</v>
      </c>
    </row>
    <row r="955" spans="1:3" hidden="1">
      <c r="A955" s="119">
        <v>908</v>
      </c>
      <c r="B955" s="71">
        <v>729</v>
      </c>
      <c r="C955" s="73">
        <v>999</v>
      </c>
    </row>
    <row r="956" spans="1:3" hidden="1">
      <c r="A956" s="119">
        <v>909</v>
      </c>
      <c r="B956" s="71">
        <v>729</v>
      </c>
      <c r="C956" s="73">
        <v>999</v>
      </c>
    </row>
    <row r="957" spans="1:3" hidden="1">
      <c r="A957" s="119">
        <v>910</v>
      </c>
      <c r="B957" s="71">
        <v>729</v>
      </c>
      <c r="C957" s="73">
        <v>999</v>
      </c>
    </row>
    <row r="958" spans="1:3" hidden="1">
      <c r="A958" s="119">
        <v>911</v>
      </c>
      <c r="B958" s="71">
        <v>729</v>
      </c>
      <c r="C958" s="73">
        <v>999</v>
      </c>
    </row>
    <row r="959" spans="1:3" hidden="1">
      <c r="A959" s="119">
        <v>912</v>
      </c>
      <c r="B959" s="71">
        <v>729</v>
      </c>
      <c r="C959" s="73">
        <v>999</v>
      </c>
    </row>
    <row r="960" spans="1:3" hidden="1">
      <c r="A960" s="119">
        <v>913</v>
      </c>
      <c r="B960" s="71">
        <v>729</v>
      </c>
      <c r="C960" s="73">
        <v>999</v>
      </c>
    </row>
    <row r="961" spans="1:3" hidden="1">
      <c r="A961" s="119">
        <v>914</v>
      </c>
      <c r="B961" s="71">
        <v>729</v>
      </c>
      <c r="C961" s="73">
        <v>999</v>
      </c>
    </row>
    <row r="962" spans="1:3" hidden="1">
      <c r="A962" s="119">
        <v>915</v>
      </c>
      <c r="B962" s="71">
        <v>729</v>
      </c>
      <c r="C962" s="73">
        <v>999</v>
      </c>
    </row>
    <row r="963" spans="1:3" hidden="1">
      <c r="A963" s="119">
        <v>916</v>
      </c>
      <c r="B963" s="71">
        <v>729</v>
      </c>
      <c r="C963" s="73">
        <v>999</v>
      </c>
    </row>
    <row r="964" spans="1:3" hidden="1">
      <c r="A964" s="119">
        <v>917</v>
      </c>
      <c r="B964" s="71">
        <v>729</v>
      </c>
      <c r="C964" s="73">
        <v>999</v>
      </c>
    </row>
    <row r="965" spans="1:3" hidden="1">
      <c r="A965" s="119">
        <v>918</v>
      </c>
      <c r="B965" s="71">
        <v>729</v>
      </c>
      <c r="C965" s="73">
        <v>999</v>
      </c>
    </row>
    <row r="966" spans="1:3" hidden="1">
      <c r="A966" s="119">
        <v>919</v>
      </c>
      <c r="B966" s="71">
        <v>729</v>
      </c>
      <c r="C966" s="73">
        <v>999</v>
      </c>
    </row>
    <row r="967" spans="1:3" hidden="1">
      <c r="A967" s="119">
        <v>920</v>
      </c>
      <c r="B967" s="71">
        <v>729</v>
      </c>
      <c r="C967" s="73">
        <v>999</v>
      </c>
    </row>
    <row r="968" spans="1:3" hidden="1">
      <c r="A968" s="119">
        <v>921</v>
      </c>
      <c r="B968" s="71">
        <v>729</v>
      </c>
      <c r="C968" s="73">
        <v>999</v>
      </c>
    </row>
    <row r="969" spans="1:3" hidden="1">
      <c r="A969" s="119">
        <v>922</v>
      </c>
      <c r="B969" s="71">
        <v>729</v>
      </c>
      <c r="C969" s="73">
        <v>999</v>
      </c>
    </row>
    <row r="970" spans="1:3" hidden="1">
      <c r="A970" s="119">
        <v>923</v>
      </c>
      <c r="B970" s="71">
        <v>729</v>
      </c>
      <c r="C970" s="73">
        <v>999</v>
      </c>
    </row>
    <row r="971" spans="1:3" hidden="1">
      <c r="A971" s="119">
        <v>924</v>
      </c>
      <c r="B971" s="71">
        <v>729</v>
      </c>
      <c r="C971" s="73">
        <v>999</v>
      </c>
    </row>
    <row r="972" spans="1:3" hidden="1">
      <c r="A972" s="119">
        <v>925</v>
      </c>
      <c r="B972" s="71">
        <v>729</v>
      </c>
      <c r="C972" s="73">
        <v>999</v>
      </c>
    </row>
    <row r="973" spans="1:3" hidden="1">
      <c r="A973" s="119">
        <v>926</v>
      </c>
      <c r="B973" s="71">
        <v>729</v>
      </c>
      <c r="C973" s="73">
        <v>999</v>
      </c>
    </row>
    <row r="974" spans="1:3" hidden="1">
      <c r="A974" s="119">
        <v>927</v>
      </c>
      <c r="B974" s="71">
        <v>729</v>
      </c>
      <c r="C974" s="73">
        <v>999</v>
      </c>
    </row>
    <row r="975" spans="1:3" hidden="1">
      <c r="A975" s="119">
        <v>928</v>
      </c>
      <c r="B975" s="71">
        <v>729</v>
      </c>
      <c r="C975" s="73">
        <v>999</v>
      </c>
    </row>
    <row r="976" spans="1:3" hidden="1">
      <c r="A976" s="119">
        <v>929</v>
      </c>
      <c r="B976" s="71">
        <v>729</v>
      </c>
      <c r="C976" s="73">
        <v>999</v>
      </c>
    </row>
    <row r="977" spans="1:3" hidden="1">
      <c r="A977" s="119">
        <v>930</v>
      </c>
      <c r="B977" s="71">
        <v>729</v>
      </c>
      <c r="C977" s="73">
        <v>999</v>
      </c>
    </row>
    <row r="978" spans="1:3" hidden="1">
      <c r="A978" s="119">
        <v>931</v>
      </c>
      <c r="B978" s="71">
        <v>729</v>
      </c>
      <c r="C978" s="73">
        <v>999</v>
      </c>
    </row>
    <row r="979" spans="1:3" hidden="1">
      <c r="A979" s="119">
        <v>932</v>
      </c>
      <c r="B979" s="71">
        <v>729</v>
      </c>
      <c r="C979" s="73">
        <v>999</v>
      </c>
    </row>
    <row r="980" spans="1:3" hidden="1">
      <c r="A980" s="119">
        <v>933</v>
      </c>
      <c r="B980" s="71">
        <v>729</v>
      </c>
      <c r="C980" s="73">
        <v>999</v>
      </c>
    </row>
    <row r="981" spans="1:3" hidden="1">
      <c r="A981" s="119">
        <v>934</v>
      </c>
      <c r="B981" s="71">
        <v>729</v>
      </c>
      <c r="C981" s="73">
        <v>999</v>
      </c>
    </row>
    <row r="982" spans="1:3" hidden="1">
      <c r="A982" s="119">
        <v>935</v>
      </c>
      <c r="B982" s="71">
        <v>729</v>
      </c>
      <c r="C982" s="73">
        <v>999</v>
      </c>
    </row>
    <row r="983" spans="1:3" hidden="1">
      <c r="A983" s="119">
        <v>936</v>
      </c>
      <c r="B983" s="71">
        <v>729</v>
      </c>
      <c r="C983" s="73">
        <v>999</v>
      </c>
    </row>
    <row r="984" spans="1:3" hidden="1">
      <c r="A984" s="119">
        <v>937</v>
      </c>
      <c r="B984" s="71">
        <v>729</v>
      </c>
      <c r="C984" s="73">
        <v>999</v>
      </c>
    </row>
    <row r="985" spans="1:3" hidden="1">
      <c r="A985" s="119">
        <v>938</v>
      </c>
      <c r="B985" s="71">
        <v>729</v>
      </c>
      <c r="C985" s="73">
        <v>999</v>
      </c>
    </row>
    <row r="986" spans="1:3" hidden="1">
      <c r="A986" s="119">
        <v>939</v>
      </c>
      <c r="B986" s="71">
        <v>729</v>
      </c>
      <c r="C986" s="73">
        <v>999</v>
      </c>
    </row>
    <row r="987" spans="1:3" hidden="1">
      <c r="A987" s="119">
        <v>940</v>
      </c>
      <c r="B987" s="71">
        <v>729</v>
      </c>
      <c r="C987" s="73">
        <v>999</v>
      </c>
    </row>
    <row r="988" spans="1:3" hidden="1">
      <c r="A988" s="119">
        <v>941</v>
      </c>
      <c r="B988" s="71">
        <v>729</v>
      </c>
      <c r="C988" s="73">
        <v>999</v>
      </c>
    </row>
    <row r="989" spans="1:3" hidden="1">
      <c r="A989" s="119">
        <v>942</v>
      </c>
      <c r="B989" s="71">
        <v>729</v>
      </c>
      <c r="C989" s="73">
        <v>999</v>
      </c>
    </row>
    <row r="990" spans="1:3" hidden="1">
      <c r="A990" s="119">
        <v>943</v>
      </c>
      <c r="B990" s="71">
        <v>729</v>
      </c>
      <c r="C990" s="73">
        <v>999</v>
      </c>
    </row>
    <row r="991" spans="1:3" hidden="1">
      <c r="A991" s="119">
        <v>944</v>
      </c>
      <c r="B991" s="71">
        <v>729</v>
      </c>
      <c r="C991" s="73">
        <v>999</v>
      </c>
    </row>
    <row r="992" spans="1:3" hidden="1">
      <c r="A992" s="119">
        <v>945</v>
      </c>
      <c r="B992" s="71">
        <v>729</v>
      </c>
      <c r="C992" s="73">
        <v>999</v>
      </c>
    </row>
    <row r="993" spans="1:3" hidden="1">
      <c r="A993" s="119">
        <v>946</v>
      </c>
      <c r="B993" s="71">
        <v>729</v>
      </c>
      <c r="C993" s="73">
        <v>999</v>
      </c>
    </row>
    <row r="994" spans="1:3" hidden="1">
      <c r="A994" s="119">
        <v>947</v>
      </c>
      <c r="B994" s="71">
        <v>729</v>
      </c>
      <c r="C994" s="73">
        <v>999</v>
      </c>
    </row>
    <row r="995" spans="1:3" hidden="1">
      <c r="A995" s="119">
        <v>948</v>
      </c>
      <c r="B995" s="71">
        <v>729</v>
      </c>
      <c r="C995" s="73">
        <v>999</v>
      </c>
    </row>
    <row r="996" spans="1:3" hidden="1">
      <c r="A996" s="119">
        <v>949</v>
      </c>
      <c r="B996" s="71">
        <v>729</v>
      </c>
      <c r="C996" s="73">
        <v>999</v>
      </c>
    </row>
    <row r="997" spans="1:3" hidden="1">
      <c r="A997" s="119">
        <v>950</v>
      </c>
      <c r="B997" s="71">
        <v>729</v>
      </c>
      <c r="C997" s="73">
        <v>999</v>
      </c>
    </row>
    <row r="998" spans="1:3" hidden="1">
      <c r="A998" s="119">
        <v>951</v>
      </c>
      <c r="B998" s="71">
        <v>729</v>
      </c>
      <c r="C998" s="73">
        <v>999</v>
      </c>
    </row>
    <row r="999" spans="1:3" hidden="1">
      <c r="A999" s="119">
        <v>952</v>
      </c>
      <c r="B999" s="71">
        <v>729</v>
      </c>
      <c r="C999" s="73">
        <v>999</v>
      </c>
    </row>
    <row r="1000" spans="1:3" hidden="1">
      <c r="A1000" s="119">
        <v>953</v>
      </c>
      <c r="B1000" s="71">
        <v>729</v>
      </c>
      <c r="C1000" s="73">
        <v>999</v>
      </c>
    </row>
    <row r="1001" spans="1:3" hidden="1">
      <c r="A1001" s="119">
        <v>954</v>
      </c>
      <c r="B1001" s="71">
        <v>729</v>
      </c>
      <c r="C1001" s="73">
        <v>999</v>
      </c>
    </row>
    <row r="1002" spans="1:3" hidden="1">
      <c r="A1002" s="119">
        <v>955</v>
      </c>
      <c r="B1002" s="71">
        <v>729</v>
      </c>
      <c r="C1002" s="73">
        <v>999</v>
      </c>
    </row>
    <row r="1003" spans="1:3" hidden="1">
      <c r="A1003" s="119">
        <v>956</v>
      </c>
      <c r="B1003" s="71">
        <v>729</v>
      </c>
      <c r="C1003" s="73">
        <v>999</v>
      </c>
    </row>
    <row r="1004" spans="1:3" hidden="1">
      <c r="A1004" s="119">
        <v>957</v>
      </c>
      <c r="B1004" s="71">
        <v>729</v>
      </c>
      <c r="C1004" s="73">
        <v>999</v>
      </c>
    </row>
    <row r="1005" spans="1:3" hidden="1">
      <c r="A1005" s="119">
        <v>958</v>
      </c>
      <c r="B1005" s="71">
        <v>729</v>
      </c>
      <c r="C1005" s="73">
        <v>999</v>
      </c>
    </row>
    <row r="1006" spans="1:3" hidden="1">
      <c r="A1006" s="119">
        <v>959</v>
      </c>
      <c r="B1006" s="71">
        <v>729</v>
      </c>
      <c r="C1006" s="73">
        <v>999</v>
      </c>
    </row>
    <row r="1007" spans="1:3" hidden="1">
      <c r="A1007" s="119">
        <v>960</v>
      </c>
      <c r="B1007" s="71">
        <v>729</v>
      </c>
      <c r="C1007" s="73">
        <v>999</v>
      </c>
    </row>
    <row r="1008" spans="1:3" hidden="1">
      <c r="A1008" s="119">
        <v>961</v>
      </c>
      <c r="B1008" s="71">
        <v>729</v>
      </c>
      <c r="C1008" s="73">
        <v>999</v>
      </c>
    </row>
    <row r="1009" spans="1:3" hidden="1">
      <c r="A1009" s="119">
        <v>962</v>
      </c>
      <c r="B1009" s="71">
        <v>729</v>
      </c>
      <c r="C1009" s="73">
        <v>999</v>
      </c>
    </row>
    <row r="1010" spans="1:3" hidden="1">
      <c r="A1010" s="119">
        <v>963</v>
      </c>
      <c r="B1010" s="71">
        <v>729</v>
      </c>
      <c r="C1010" s="73">
        <v>999</v>
      </c>
    </row>
    <row r="1011" spans="1:3" hidden="1">
      <c r="A1011" s="119">
        <v>964</v>
      </c>
      <c r="B1011" s="71">
        <v>729</v>
      </c>
      <c r="C1011" s="73">
        <v>999</v>
      </c>
    </row>
    <row r="1012" spans="1:3" hidden="1">
      <c r="A1012" s="119">
        <v>965</v>
      </c>
      <c r="B1012" s="71">
        <v>729</v>
      </c>
      <c r="C1012" s="73">
        <v>999</v>
      </c>
    </row>
    <row r="1013" spans="1:3" hidden="1">
      <c r="A1013" s="119">
        <v>966</v>
      </c>
      <c r="B1013" s="71">
        <v>729</v>
      </c>
      <c r="C1013" s="73">
        <v>999</v>
      </c>
    </row>
    <row r="1014" spans="1:3" hidden="1">
      <c r="A1014" s="119">
        <v>967</v>
      </c>
      <c r="B1014" s="71">
        <v>729</v>
      </c>
      <c r="C1014" s="73">
        <v>999</v>
      </c>
    </row>
    <row r="1015" spans="1:3" hidden="1">
      <c r="A1015" s="119">
        <v>968</v>
      </c>
      <c r="B1015" s="71">
        <v>729</v>
      </c>
      <c r="C1015" s="73">
        <v>999</v>
      </c>
    </row>
    <row r="1016" spans="1:3" hidden="1">
      <c r="A1016" s="119">
        <v>969</v>
      </c>
      <c r="B1016" s="71">
        <v>729</v>
      </c>
      <c r="C1016" s="73">
        <v>999</v>
      </c>
    </row>
    <row r="1017" spans="1:3" hidden="1">
      <c r="A1017" s="119">
        <v>970</v>
      </c>
      <c r="B1017" s="71">
        <v>729</v>
      </c>
      <c r="C1017" s="73">
        <v>999</v>
      </c>
    </row>
    <row r="1018" spans="1:3" hidden="1">
      <c r="A1018" s="119">
        <v>971</v>
      </c>
      <c r="B1018" s="71">
        <v>729</v>
      </c>
      <c r="C1018" s="73">
        <v>999</v>
      </c>
    </row>
    <row r="1019" spans="1:3" hidden="1">
      <c r="A1019" s="119">
        <v>972</v>
      </c>
      <c r="B1019" s="71">
        <v>729</v>
      </c>
      <c r="C1019" s="73">
        <v>999</v>
      </c>
    </row>
    <row r="1020" spans="1:3" hidden="1">
      <c r="A1020" s="119">
        <v>973</v>
      </c>
      <c r="B1020" s="71">
        <v>729</v>
      </c>
      <c r="C1020" s="73">
        <v>999</v>
      </c>
    </row>
    <row r="1021" spans="1:3" hidden="1">
      <c r="A1021" s="119">
        <v>974</v>
      </c>
      <c r="B1021" s="71">
        <v>729</v>
      </c>
      <c r="C1021" s="73">
        <v>999</v>
      </c>
    </row>
    <row r="1022" spans="1:3" hidden="1">
      <c r="A1022" s="119">
        <v>975</v>
      </c>
      <c r="B1022" s="71">
        <v>729</v>
      </c>
      <c r="C1022" s="73">
        <v>999</v>
      </c>
    </row>
    <row r="1023" spans="1:3" hidden="1">
      <c r="A1023" s="119">
        <v>976</v>
      </c>
      <c r="B1023" s="71">
        <v>729</v>
      </c>
      <c r="C1023" s="73">
        <v>999</v>
      </c>
    </row>
    <row r="1024" spans="1:3" hidden="1">
      <c r="A1024" s="119">
        <v>977</v>
      </c>
      <c r="B1024" s="71">
        <v>729</v>
      </c>
      <c r="C1024" s="73">
        <v>999</v>
      </c>
    </row>
    <row r="1025" spans="1:3" hidden="1">
      <c r="A1025" s="119">
        <v>978</v>
      </c>
      <c r="B1025" s="71">
        <v>729</v>
      </c>
      <c r="C1025" s="73">
        <v>999</v>
      </c>
    </row>
    <row r="1026" spans="1:3" hidden="1">
      <c r="A1026" s="119">
        <v>979</v>
      </c>
      <c r="B1026" s="71">
        <v>729</v>
      </c>
      <c r="C1026" s="73">
        <v>999</v>
      </c>
    </row>
    <row r="1027" spans="1:3" hidden="1">
      <c r="A1027" s="119">
        <v>980</v>
      </c>
      <c r="B1027" s="71">
        <v>729</v>
      </c>
      <c r="C1027" s="73">
        <v>999</v>
      </c>
    </row>
    <row r="1028" spans="1:3" hidden="1">
      <c r="A1028" s="119">
        <v>981</v>
      </c>
      <c r="B1028" s="71">
        <v>729</v>
      </c>
      <c r="C1028" s="73">
        <v>999</v>
      </c>
    </row>
    <row r="1029" spans="1:3" hidden="1">
      <c r="A1029" s="119">
        <v>982</v>
      </c>
      <c r="B1029" s="71">
        <v>729</v>
      </c>
      <c r="C1029" s="73">
        <v>999</v>
      </c>
    </row>
    <row r="1030" spans="1:3" hidden="1">
      <c r="A1030" s="119">
        <v>983</v>
      </c>
      <c r="B1030" s="71">
        <v>729</v>
      </c>
      <c r="C1030" s="73">
        <v>999</v>
      </c>
    </row>
    <row r="1031" spans="1:3" hidden="1">
      <c r="A1031" s="119">
        <v>984</v>
      </c>
      <c r="B1031" s="71">
        <v>729</v>
      </c>
      <c r="C1031" s="73">
        <v>999</v>
      </c>
    </row>
    <row r="1032" spans="1:3" hidden="1">
      <c r="A1032" s="119">
        <v>985</v>
      </c>
      <c r="B1032" s="71">
        <v>729</v>
      </c>
      <c r="C1032" s="73">
        <v>999</v>
      </c>
    </row>
    <row r="1033" spans="1:3" hidden="1">
      <c r="A1033" s="119">
        <v>986</v>
      </c>
      <c r="B1033" s="71">
        <v>729</v>
      </c>
      <c r="C1033" s="73">
        <v>999</v>
      </c>
    </row>
    <row r="1034" spans="1:3" hidden="1">
      <c r="A1034" s="119">
        <v>987</v>
      </c>
      <c r="B1034" s="71">
        <v>729</v>
      </c>
      <c r="C1034" s="73">
        <v>999</v>
      </c>
    </row>
    <row r="1035" spans="1:3" hidden="1">
      <c r="A1035" s="119">
        <v>988</v>
      </c>
      <c r="B1035" s="71">
        <v>729</v>
      </c>
      <c r="C1035" s="73">
        <v>999</v>
      </c>
    </row>
    <row r="1036" spans="1:3" hidden="1">
      <c r="A1036" s="119">
        <v>989</v>
      </c>
      <c r="B1036" s="71">
        <v>729</v>
      </c>
      <c r="C1036" s="73">
        <v>999</v>
      </c>
    </row>
    <row r="1037" spans="1:3" hidden="1">
      <c r="A1037" s="119">
        <v>990</v>
      </c>
      <c r="B1037" s="71">
        <v>729</v>
      </c>
      <c r="C1037" s="73">
        <v>999</v>
      </c>
    </row>
    <row r="1038" spans="1:3" hidden="1">
      <c r="A1038" s="119">
        <v>991</v>
      </c>
      <c r="B1038" s="71">
        <v>729</v>
      </c>
      <c r="C1038" s="73">
        <v>999</v>
      </c>
    </row>
    <row r="1039" spans="1:3" hidden="1">
      <c r="A1039" s="119">
        <v>992</v>
      </c>
      <c r="B1039" s="71">
        <v>729</v>
      </c>
      <c r="C1039" s="73">
        <v>999</v>
      </c>
    </row>
    <row r="1040" spans="1:3" hidden="1">
      <c r="A1040" s="119">
        <v>993</v>
      </c>
      <c r="B1040" s="71">
        <v>729</v>
      </c>
      <c r="C1040" s="73">
        <v>999</v>
      </c>
    </row>
    <row r="1041" spans="1:3" hidden="1">
      <c r="A1041" s="119">
        <v>994</v>
      </c>
      <c r="B1041" s="71">
        <v>729</v>
      </c>
      <c r="C1041" s="73">
        <v>999</v>
      </c>
    </row>
    <row r="1042" spans="1:3" hidden="1">
      <c r="A1042" s="119">
        <v>995</v>
      </c>
      <c r="B1042" s="71">
        <v>729</v>
      </c>
      <c r="C1042" s="73">
        <v>999</v>
      </c>
    </row>
    <row r="1043" spans="1:3" hidden="1">
      <c r="A1043" s="119">
        <v>996</v>
      </c>
      <c r="B1043" s="71">
        <v>729</v>
      </c>
      <c r="C1043" s="73">
        <v>999</v>
      </c>
    </row>
    <row r="1044" spans="1:3" hidden="1">
      <c r="A1044" s="119">
        <v>997</v>
      </c>
      <c r="B1044" s="71">
        <v>729</v>
      </c>
      <c r="C1044" s="73">
        <v>999</v>
      </c>
    </row>
    <row r="1045" spans="1:3" hidden="1">
      <c r="A1045" s="119">
        <v>998</v>
      </c>
      <c r="B1045" s="71">
        <v>729</v>
      </c>
      <c r="C1045" s="73">
        <v>999</v>
      </c>
    </row>
    <row r="1046" spans="1:3" ht="15.75" hidden="1" thickBot="1">
      <c r="A1046" s="122">
        <v>999</v>
      </c>
      <c r="B1046" s="24">
        <v>729</v>
      </c>
      <c r="C1046" s="23">
        <v>999</v>
      </c>
    </row>
    <row r="1047" spans="1:3" hidden="1">
      <c r="A1047" s="42"/>
    </row>
    <row r="1048" spans="1:3" hidden="1">
      <c r="A1048" s="87"/>
      <c r="B1048" s="88"/>
    </row>
    <row r="1049" spans="1:3" hidden="1">
      <c r="A1049" s="42"/>
    </row>
    <row r="1050" spans="1:3" hidden="1"/>
  </sheetData>
  <sheetProtection password="8B0A" sheet="1" objects="1" scenarios="1" pivotTables="0"/>
  <mergeCells count="36">
    <mergeCell ref="A21:D21"/>
    <mergeCell ref="A23:D24"/>
    <mergeCell ref="A27:B28"/>
    <mergeCell ref="D27:D28"/>
    <mergeCell ref="A29:N29"/>
    <mergeCell ref="F27:I28"/>
    <mergeCell ref="J20:N28"/>
    <mergeCell ref="A3:A19"/>
    <mergeCell ref="F14:H14"/>
    <mergeCell ref="J6:N14"/>
    <mergeCell ref="J15:J19"/>
    <mergeCell ref="N15:N19"/>
    <mergeCell ref="L16:M19"/>
    <mergeCell ref="G6:G7"/>
    <mergeCell ref="B16:D19"/>
    <mergeCell ref="F13:I13"/>
    <mergeCell ref="N3:N5"/>
    <mergeCell ref="I3:I8"/>
    <mergeCell ref="J3:K5"/>
    <mergeCell ref="B3:D3"/>
    <mergeCell ref="A1:N1"/>
    <mergeCell ref="F26:H26"/>
    <mergeCell ref="L3:M3"/>
    <mergeCell ref="F24:H24"/>
    <mergeCell ref="H9:I11"/>
    <mergeCell ref="F9:G11"/>
    <mergeCell ref="G23:H23"/>
    <mergeCell ref="F17:H18"/>
    <mergeCell ref="I17:I18"/>
    <mergeCell ref="F21:H22"/>
    <mergeCell ref="I21:I22"/>
    <mergeCell ref="G19:H19"/>
    <mergeCell ref="F16:H16"/>
    <mergeCell ref="F20:H20"/>
    <mergeCell ref="E3:E28"/>
    <mergeCell ref="A2:N2"/>
  </mergeCells>
  <conditionalFormatting sqref="D6">
    <cfRule type="expression" dxfId="291" priority="41">
      <formula>$F$21="0 (l'unité) est l'unité de 0 (nbr³) dans la colonne x³"</formula>
    </cfRule>
    <cfRule type="expression" dxfId="290" priority="42">
      <formula>AND($F$15&lt;&gt;0,OR($G$15&lt;&gt;0,$G$15=0),$H$15=0)</formula>
    </cfRule>
  </conditionalFormatting>
  <conditionalFormatting sqref="D7">
    <cfRule type="expression" dxfId="289" priority="38">
      <formula>AND($F$15&gt;=$D$7,$F$15&lt;$D$8,$H$15=1)</formula>
    </cfRule>
    <cfRule type="expression" dxfId="288" priority="39">
      <formula>AND($F$15&gt;=$D$7,$F$15&lt;$D$8)</formula>
    </cfRule>
    <cfRule type="expression" dxfId="287" priority="40">
      <formula>$H$15=1</formula>
    </cfRule>
  </conditionalFormatting>
  <conditionalFormatting sqref="D8">
    <cfRule type="expression" dxfId="286" priority="35">
      <formula>AND($F$15&gt;=$D$8,$F$15&lt;$D$9,$H$15=8)</formula>
    </cfRule>
    <cfRule type="expression" dxfId="285" priority="36">
      <formula>AND($F$15&gt;=$D$8,$F$15&lt;$D$9)</formula>
    </cfRule>
    <cfRule type="expression" dxfId="284" priority="37">
      <formula>$H$15=8</formula>
    </cfRule>
  </conditionalFormatting>
  <conditionalFormatting sqref="D9">
    <cfRule type="expression" dxfId="283" priority="32">
      <formula>AND($F$15&gt;=$D$9,$F$15&lt;$D$10,$H$15=7)</formula>
    </cfRule>
    <cfRule type="expression" dxfId="282" priority="33">
      <formula>AND($F$15&gt;=$D$9,$F$15&lt;$D$10)</formula>
    </cfRule>
    <cfRule type="expression" dxfId="281" priority="34">
      <formula>$H$15=7</formula>
    </cfRule>
  </conditionalFormatting>
  <conditionalFormatting sqref="D10">
    <cfRule type="expression" dxfId="280" priority="29">
      <formula>AND($F$15&gt;=$D$10,$F$15&lt;$D$11,$H$15=4)</formula>
    </cfRule>
    <cfRule type="expression" dxfId="279" priority="30">
      <formula>AND($F$15&gt;=$D$10,$F$15&lt;$D$11)</formula>
    </cfRule>
    <cfRule type="expression" dxfId="278" priority="31">
      <formula>$H$15=4</formula>
    </cfRule>
  </conditionalFormatting>
  <conditionalFormatting sqref="D11">
    <cfRule type="expression" dxfId="277" priority="26">
      <formula>AND($F$15&gt;=$D$11,$F$15&lt;$D$12,$H$15=5)</formula>
    </cfRule>
    <cfRule type="expression" dxfId="276" priority="27">
      <formula>AND($F$15&gt;=$D$11,$F$15&lt;$D$12)</formula>
    </cfRule>
    <cfRule type="expression" dxfId="275" priority="28">
      <formula>$H$15=5</formula>
    </cfRule>
  </conditionalFormatting>
  <conditionalFormatting sqref="D12">
    <cfRule type="expression" dxfId="274" priority="23">
      <formula>AND($F$15&gt;=$D$12,$F$15&lt;$D$13,$H$15=6)</formula>
    </cfRule>
    <cfRule type="expression" dxfId="273" priority="24">
      <formula>AND($F$15&gt;=$D$12,$F$15&lt;$D$13)</formula>
    </cfRule>
    <cfRule type="expression" dxfId="272" priority="25">
      <formula>$H$15=6</formula>
    </cfRule>
  </conditionalFormatting>
  <conditionalFormatting sqref="D14">
    <cfRule type="expression" dxfId="271" priority="20">
      <formula>AND($F$15&gt;=$D$14,$F$15&lt;$D$15,$H$15=2)</formula>
    </cfRule>
    <cfRule type="expression" dxfId="270" priority="21">
      <formula>AND($F$15&gt;=$D$14,$F$15&lt;$D$15)</formula>
    </cfRule>
    <cfRule type="expression" dxfId="269" priority="22">
      <formula>$H$15=2</formula>
    </cfRule>
  </conditionalFormatting>
  <conditionalFormatting sqref="D15">
    <cfRule type="expression" dxfId="268" priority="17">
      <formula>AND($F$15&gt;=$D$15,$F$15&lt;999,$H$15=9)</formula>
    </cfRule>
    <cfRule type="expression" dxfId="267" priority="18">
      <formula>AND($F$15&gt;=$D$15,$F$15&lt;999)</formula>
    </cfRule>
    <cfRule type="expression" dxfId="266" priority="19">
      <formula>$H$15=9</formula>
    </cfRule>
  </conditionalFormatting>
  <conditionalFormatting sqref="D13">
    <cfRule type="expression" dxfId="265" priority="14">
      <formula>AND($F$15&gt;=$D$13,$F$15&lt;$D$14,$H$15=3)</formula>
    </cfRule>
    <cfRule type="expression" dxfId="264" priority="15">
      <formula>AND($F$15&gt;=$D$13,$F$15&lt;$D$14)</formula>
    </cfRule>
    <cfRule type="expression" dxfId="263" priority="16">
      <formula>$H$15=3</formula>
    </cfRule>
  </conditionalFormatting>
  <conditionalFormatting sqref="F46 F27:I28">
    <cfRule type="cellIs" dxfId="262" priority="13" operator="equal">
      <formula>#VALUE!</formula>
    </cfRule>
  </conditionalFormatting>
  <conditionalFormatting sqref="F15">
    <cfRule type="expression" priority="12">
      <formula>AND($F$15="",$G$15="")</formula>
    </cfRule>
  </conditionalFormatting>
  <conditionalFormatting sqref="I17:I18 F19:I19">
    <cfRule type="expression" dxfId="261" priority="11" stopIfTrue="1">
      <formula>$F$17="Votre nbr³ est un chiffre, se reporter directement dans la colonne x³."</formula>
    </cfRule>
  </conditionalFormatting>
  <conditionalFormatting sqref="F16:I26">
    <cfRule type="expression" dxfId="260" priority="10" stopIfTrue="1">
      <formula>$K$19="#Erreur#"</formula>
    </cfRule>
  </conditionalFormatting>
  <conditionalFormatting sqref="F15:H15">
    <cfRule type="expression" dxfId="259" priority="8">
      <formula>$K$19="#Erreur#"</formula>
    </cfRule>
  </conditionalFormatting>
  <conditionalFormatting sqref="A29:N29">
    <cfRule type="expression" dxfId="258" priority="7">
      <formula>$A$29&lt;&gt;""</formula>
    </cfRule>
  </conditionalFormatting>
  <conditionalFormatting sqref="L3:M5">
    <cfRule type="expression" dxfId="257" priority="6">
      <formula>$A$29&lt;&gt;""</formula>
    </cfRule>
  </conditionalFormatting>
  <conditionalFormatting sqref="M4">
    <cfRule type="expression" dxfId="256" priority="5">
      <formula>$A$29&lt;&gt;""</formula>
    </cfRule>
  </conditionalFormatting>
  <conditionalFormatting sqref="F16:I26 I15">
    <cfRule type="expression" dxfId="255" priority="4">
      <formula>OR(AND($I$15&lt;&gt;"",$A$29&lt;&gt;""),AND($I$15="",$A$29=""),$M$4&gt;99)</formula>
    </cfRule>
  </conditionalFormatting>
  <conditionalFormatting sqref="I15">
    <cfRule type="expression" dxfId="254" priority="3">
      <formula>$I$15=""</formula>
    </cfRule>
  </conditionalFormatting>
  <conditionalFormatting sqref="F3:H13 I3 I9:I13">
    <cfRule type="expression" dxfId="253" priority="2">
      <formula>$I$15&lt;&gt;""</formula>
    </cfRule>
  </conditionalFormatting>
  <conditionalFormatting sqref="A2:N2">
    <cfRule type="expression" dxfId="252" priority="1">
      <formula>$A$2&lt;&gt;""</formula>
    </cfRule>
  </conditionalFormatting>
  <pageMargins left="0.70866141732283472" right="0.70866141732283472" top="0.74803149606299213" bottom="0.74803149606299213" header="0.31496062992125984" footer="0.31496062992125984"/>
  <pageSetup paperSize="9" scale="53" orientation="portrait" r:id="rId1"/>
  <drawing r:id="rId2"/>
  <legacyDrawing r:id="rId3"/>
</worksheet>
</file>

<file path=xl/worksheets/sheet23.xml><?xml version="1.0" encoding="utf-8"?>
<worksheet xmlns="http://schemas.openxmlformats.org/spreadsheetml/2006/main" xmlns:r="http://schemas.openxmlformats.org/officeDocument/2006/relationships">
  <sheetPr codeName="Feuil30">
    <outlinePr summaryBelow="0"/>
  </sheetPr>
  <dimension ref="A1:BP34"/>
  <sheetViews>
    <sheetView showGridLines="0" showRowColHeaders="0" zoomScaleNormal="100" workbookViewId="0">
      <selection sqref="A1:C2"/>
    </sheetView>
  </sheetViews>
  <sheetFormatPr baseColWidth="10" defaultColWidth="0" defaultRowHeight="15" zeroHeight="1"/>
  <cols>
    <col min="1" max="3" width="50.7109375" style="429" customWidth="1"/>
    <col min="4" max="68" width="0" style="429" hidden="1" customWidth="1"/>
    <col min="69" max="16384" width="27.42578125" style="429" hidden="1"/>
  </cols>
  <sheetData>
    <row r="1" spans="1:25" s="344" customFormat="1" ht="23.25" customHeight="1">
      <c r="A1" s="819" t="s">
        <v>330</v>
      </c>
      <c r="B1" s="820"/>
      <c r="C1" s="820"/>
    </row>
    <row r="2" spans="1:25" s="344" customFormat="1" ht="33" customHeight="1">
      <c r="A2" s="819"/>
      <c r="B2" s="820"/>
      <c r="C2" s="820"/>
      <c r="F2" s="345"/>
    </row>
    <row r="3" spans="1:25" s="21" customFormat="1" ht="15" customHeight="1">
      <c r="A3" s="826">
        <f>IF(AND(SigneAstro!H4="",SigneAstro!K4="",SigneAstro!N4="",SigneAstro!Q4=""),0,IF(OR(SigneAstro!H4="",SigneAstro!K4="",SigneAstro!N4="",SigneAstro!Q4=""),1,IF(AND(SigneAstro!H4&lt;&gt;"",SigneAstro!K4&lt;&gt;"",SigneAstro!N4&lt;&gt;"",SigneAstro!Q4&lt;&gt;""),2,1)))</f>
        <v>0</v>
      </c>
      <c r="B3" s="826">
        <f>IF(AND(SigneAstroChinois!H4="",SigneAstroChinois!K4="",SigneAstroChinois!N4="",SigneAstroChinois!Q4=""),0,IF(OR(SigneAstroChinois!H4="",SigneAstroChinois!K4="",SigneAstroChinois!N4="",SigneAstroChinois!Q4=""),1,IF(AND(SigneAstroChinois!H4&lt;&gt;"",SigneAstroChinois!K4&lt;&gt;"",SigneAstroChinois!N4&lt;&gt;"",SigneAstroChinois!Q4&lt;&gt;""),2,1)))</f>
        <v>0</v>
      </c>
      <c r="C3" s="826">
        <f>IF(AND(SigneAstroEgyptien!H4="",SigneAstroEgyptien!K4="",SigneAstroEgyptien!N4="",SigneAstroEgyptien!Q4=""),0,IF(OR(SigneAstroEgyptien!H4="",SigneAstroEgyptien!K4="",SigneAstroEgyptien!N4="",SigneAstroEgyptien!Q4=""),1,IF(AND(SigneAstroEgyptien!H4&lt;&gt;"",SigneAstroEgyptien!K4&lt;&gt;"",SigneAstroEgyptien!N4&lt;&gt;"",SigneAstroEgyptien!Q4&lt;&gt;""),2,1)))</f>
        <v>0</v>
      </c>
      <c r="F3" s="346"/>
    </row>
    <row r="4" spans="1:25" s="21" customFormat="1" ht="247.5" customHeight="1">
      <c r="A4" s="826"/>
      <c r="B4" s="826"/>
      <c r="C4" s="826"/>
    </row>
    <row r="5" spans="1:25" s="21" customFormat="1">
      <c r="A5" s="825"/>
      <c r="B5" s="825"/>
      <c r="C5" s="825"/>
    </row>
    <row r="6" spans="1:25" s="21" customFormat="1" ht="15.75">
      <c r="A6" s="821" t="s">
        <v>405</v>
      </c>
      <c r="B6" s="821"/>
      <c r="C6" s="821"/>
    </row>
    <row r="7" spans="1:25" s="21" customFormat="1">
      <c r="A7" s="347" t="s">
        <v>391</v>
      </c>
      <c r="B7" s="347" t="s">
        <v>392</v>
      </c>
      <c r="C7" s="347" t="s">
        <v>393</v>
      </c>
      <c r="Y7" s="21" t="s">
        <v>395</v>
      </c>
    </row>
    <row r="8" spans="1:25" s="21" customFormat="1">
      <c r="A8" s="827" t="str">
        <f>IF(B9&lt;&gt;"","▲ *un indice sur 'mon élèment' est caché dans la page du jeu ! ▲","")</f>
        <v/>
      </c>
      <c r="B8" s="827"/>
      <c r="C8" s="827"/>
      <c r="E8" s="342" t="s">
        <v>385</v>
      </c>
      <c r="F8" s="342" t="s">
        <v>386</v>
      </c>
      <c r="G8" s="342" t="s">
        <v>387</v>
      </c>
      <c r="I8" s="342" t="s">
        <v>140</v>
      </c>
      <c r="J8" s="342" t="s">
        <v>141</v>
      </c>
      <c r="K8" s="342" t="s">
        <v>144</v>
      </c>
      <c r="L8" s="342" t="s">
        <v>147</v>
      </c>
      <c r="M8" s="342" t="s">
        <v>139</v>
      </c>
      <c r="N8" s="342" t="s">
        <v>142</v>
      </c>
      <c r="O8" s="342" t="s">
        <v>145</v>
      </c>
      <c r="P8" s="342" t="s">
        <v>148</v>
      </c>
      <c r="Q8" s="342" t="s">
        <v>138</v>
      </c>
      <c r="R8" s="342" t="s">
        <v>143</v>
      </c>
      <c r="S8" s="342" t="s">
        <v>146</v>
      </c>
      <c r="T8" s="342" t="s">
        <v>304</v>
      </c>
      <c r="Y8" s="21" t="str">
        <f>IF(OR(A12="",B12="",C12="")," ",IF(SUM($A$12:$C$12)=0,"Le 23 Septembre 1988"," "))</f>
        <v xml:space="preserve"> </v>
      </c>
    </row>
    <row r="9" spans="1:25" s="21" customFormat="1" ht="15.75">
      <c r="A9" s="348"/>
      <c r="B9" s="348"/>
      <c r="C9" s="348"/>
      <c r="E9" s="21" t="s">
        <v>140</v>
      </c>
      <c r="F9" s="21" t="s">
        <v>312</v>
      </c>
      <c r="G9" s="340" t="s">
        <v>390</v>
      </c>
      <c r="I9" s="21" t="s">
        <v>372</v>
      </c>
      <c r="J9" s="21" t="s">
        <v>373</v>
      </c>
      <c r="K9" s="21" t="s">
        <v>374</v>
      </c>
      <c r="L9" s="21" t="s">
        <v>375</v>
      </c>
      <c r="M9" s="21" t="s">
        <v>376</v>
      </c>
      <c r="N9" s="21" t="s">
        <v>377</v>
      </c>
      <c r="O9" s="21" t="s">
        <v>378</v>
      </c>
      <c r="P9" s="21" t="s">
        <v>379</v>
      </c>
      <c r="Q9" s="21" t="s">
        <v>380</v>
      </c>
      <c r="R9" s="21" t="s">
        <v>381</v>
      </c>
      <c r="S9" s="21" t="s">
        <v>382</v>
      </c>
      <c r="T9" s="21" t="s">
        <v>383</v>
      </c>
      <c r="U9" s="21" t="s">
        <v>389</v>
      </c>
      <c r="Y9" s="21" t="str">
        <f>IF(OR(A12="",B12="",C12=" "),"",IF(SUM($A$12:$C$12)=0,"Le 24 Septembre 1988"," "))</f>
        <v/>
      </c>
    </row>
    <row r="10" spans="1:25" s="21" customFormat="1" ht="15.75">
      <c r="A10" s="348"/>
      <c r="B10" s="348"/>
      <c r="C10" s="348"/>
      <c r="E10" s="21" t="s">
        <v>141</v>
      </c>
      <c r="F10" s="21" t="s">
        <v>313</v>
      </c>
      <c r="G10" s="340" t="s">
        <v>333</v>
      </c>
      <c r="Y10" s="21" t="str">
        <f>IF(OR(A12="",B12="",C12="")," ",IF(SUM($A$12:$C$12)=0,"Le 25 Septembre 1988"," "))</f>
        <v xml:space="preserve"> </v>
      </c>
    </row>
    <row r="11" spans="1:25" s="21" customFormat="1" ht="15.75">
      <c r="A11" s="349"/>
      <c r="B11" s="348"/>
      <c r="C11" s="349"/>
      <c r="E11" s="21" t="s">
        <v>144</v>
      </c>
      <c r="F11" s="21" t="s">
        <v>314</v>
      </c>
      <c r="G11" s="340" t="s">
        <v>334</v>
      </c>
      <c r="I11" s="341"/>
      <c r="J11" s="341"/>
      <c r="K11" s="341"/>
      <c r="L11" s="341"/>
      <c r="M11" s="341"/>
      <c r="N11" s="341"/>
      <c r="P11" s="341"/>
      <c r="Q11" s="341"/>
      <c r="R11" s="341"/>
      <c r="S11" s="341"/>
      <c r="T11" s="341"/>
      <c r="Y11" s="21" t="str">
        <f>IF(OR(A12="",B12="",C12="")," ",IF(SUM($A$12:$C$12)=0,"Le 26 Septembre 1988"," "))</f>
        <v xml:space="preserve"> </v>
      </c>
    </row>
    <row r="12" spans="1:25" s="21" customFormat="1" ht="18.75">
      <c r="A12" s="335" t="str">
        <f>IF(AND(A9="",A10=""),"",IF(OR(A9="",A10=""),1,IF(A9="Balance",0,2)))</f>
        <v/>
      </c>
      <c r="B12" s="335" t="str">
        <f>IF(AND(B9="",B10="",B11=""),"",IF(OR(B9="",B10="",B11=""),1,IF(B11=1988,0,2)))</f>
        <v/>
      </c>
      <c r="C12" s="335" t="str">
        <f>IF(AND(C9="",C10=""),"",IF(OR(C9="",C10=""),1,IF(C10="du 23 Septembre au 27 Septembre",0,2)))</f>
        <v/>
      </c>
      <c r="E12" s="21" t="s">
        <v>147</v>
      </c>
      <c r="F12" s="21" t="s">
        <v>315</v>
      </c>
      <c r="G12" s="340" t="s">
        <v>335</v>
      </c>
      <c r="I12" s="343" t="s">
        <v>390</v>
      </c>
      <c r="J12" s="343" t="s">
        <v>333</v>
      </c>
      <c r="K12" s="343" t="s">
        <v>334</v>
      </c>
      <c r="L12" s="343" t="s">
        <v>335</v>
      </c>
      <c r="M12" s="343" t="s">
        <v>336</v>
      </c>
      <c r="N12" s="343" t="s">
        <v>337</v>
      </c>
      <c r="O12" s="343" t="s">
        <v>388</v>
      </c>
      <c r="P12" s="343" t="s">
        <v>339</v>
      </c>
      <c r="Q12" s="343" t="s">
        <v>340</v>
      </c>
      <c r="R12" s="343" t="s">
        <v>341</v>
      </c>
      <c r="S12" s="343" t="s">
        <v>342</v>
      </c>
      <c r="T12" s="343" t="s">
        <v>343</v>
      </c>
      <c r="Y12" s="21" t="str">
        <f>IF(OR(A12="",B12="",C12="")," ",IF(SUM($A$12:$C$12)=0,"Le 27 Septembre 1988"," "))</f>
        <v xml:space="preserve"> </v>
      </c>
    </row>
    <row r="13" spans="1:25" s="21" customFormat="1" ht="15.75">
      <c r="A13" s="824" t="str">
        <f>IF(AND(B14&lt;&gt;" ",B14&lt;&gt;""),"Ma date de naissance est…",IF(OR(A12="",B12="",C12=""),"",IF(SUM(A12:C12)=0,"Félicitations!  Ne vous reste plus qu'à trouver ma date de naissance …",IF(OR(A12=0,B12=0,C12=0),"Félicitations ! Vous êtes en bonne voie…("&amp;IF(A9="Balance",1,0)+IF(B9="Dragon",1,0)+IF(C9="Bastet",1,0)&amp;"/3 signes trouvés)",""))))</f>
        <v/>
      </c>
      <c r="B13" s="824"/>
      <c r="C13" s="824"/>
      <c r="E13" s="21" t="s">
        <v>139</v>
      </c>
      <c r="F13" s="21" t="s">
        <v>316</v>
      </c>
      <c r="G13" s="340" t="s">
        <v>336</v>
      </c>
      <c r="H13" s="346"/>
      <c r="I13" s="21" t="s">
        <v>344</v>
      </c>
      <c r="J13" s="21" t="s">
        <v>346</v>
      </c>
      <c r="K13" s="21" t="s">
        <v>348</v>
      </c>
      <c r="L13" s="21" t="s">
        <v>351</v>
      </c>
      <c r="M13" s="21" t="s">
        <v>353</v>
      </c>
      <c r="N13" s="21" t="s">
        <v>355</v>
      </c>
      <c r="O13" s="21" t="s">
        <v>358</v>
      </c>
      <c r="P13" s="21" t="s">
        <v>362</v>
      </c>
      <c r="Q13" s="21" t="s">
        <v>364</v>
      </c>
      <c r="R13" s="21" t="s">
        <v>366</v>
      </c>
      <c r="S13" s="21" t="s">
        <v>368</v>
      </c>
      <c r="T13" s="21" t="s">
        <v>370</v>
      </c>
      <c r="U13" s="21" t="s">
        <v>389</v>
      </c>
    </row>
    <row r="14" spans="1:25" s="21" customFormat="1" ht="15.75">
      <c r="A14" s="347"/>
      <c r="B14" s="350"/>
      <c r="C14" s="347"/>
      <c r="E14" s="21" t="s">
        <v>142</v>
      </c>
      <c r="F14" s="21" t="s">
        <v>317</v>
      </c>
      <c r="G14" s="340" t="s">
        <v>337</v>
      </c>
      <c r="I14" s="21" t="s">
        <v>345</v>
      </c>
      <c r="J14" s="21" t="s">
        <v>347</v>
      </c>
      <c r="K14" s="21" t="s">
        <v>349</v>
      </c>
      <c r="L14" s="21" t="s">
        <v>352</v>
      </c>
      <c r="M14" s="21" t="s">
        <v>354</v>
      </c>
      <c r="N14" s="21" t="s">
        <v>356</v>
      </c>
      <c r="O14" s="21" t="s">
        <v>359</v>
      </c>
      <c r="P14" s="21" t="s">
        <v>363</v>
      </c>
      <c r="Q14" s="21" t="s">
        <v>365</v>
      </c>
      <c r="R14" s="21" t="s">
        <v>367</v>
      </c>
      <c r="S14" s="21" t="s">
        <v>369</v>
      </c>
      <c r="T14" s="21" t="s">
        <v>371</v>
      </c>
      <c r="U14" s="21" t="s">
        <v>389</v>
      </c>
    </row>
    <row r="15" spans="1:25" s="21" customFormat="1" ht="15.75">
      <c r="A15" s="824"/>
      <c r="B15" s="824"/>
      <c r="C15" s="824"/>
      <c r="E15" s="21" t="s">
        <v>145</v>
      </c>
      <c r="F15" s="21" t="s">
        <v>318</v>
      </c>
      <c r="G15" s="340" t="s">
        <v>388</v>
      </c>
      <c r="I15" s="21" t="s">
        <v>389</v>
      </c>
      <c r="J15" s="21" t="s">
        <v>389</v>
      </c>
      <c r="K15" s="21" t="s">
        <v>350</v>
      </c>
      <c r="L15" s="21" t="s">
        <v>389</v>
      </c>
      <c r="M15" s="21" t="s">
        <v>389</v>
      </c>
      <c r="N15" s="21" t="s">
        <v>357</v>
      </c>
      <c r="O15" s="21" t="s">
        <v>360</v>
      </c>
      <c r="P15" s="21" t="s">
        <v>389</v>
      </c>
      <c r="Q15" s="21" t="s">
        <v>389</v>
      </c>
      <c r="R15" s="21" t="s">
        <v>389</v>
      </c>
      <c r="S15" s="21" t="s">
        <v>389</v>
      </c>
      <c r="T15" s="21" t="s">
        <v>389</v>
      </c>
    </row>
    <row r="16" spans="1:25" s="21" customFormat="1" ht="23.25">
      <c r="A16" s="822" t="str">
        <f>IF(OR(A18&lt;&gt;"",B18&lt;&gt;"",C18&lt;&gt;""),"BONUS débloqués"&amp;" ( "&amp;SUM(IF(A18="",0,1)+IF(B18="",0,1)+IF(C18="",0,1))&amp;" / 3 )","")</f>
        <v/>
      </c>
      <c r="B16" s="822"/>
      <c r="C16" s="822"/>
      <c r="E16" s="21" t="s">
        <v>148</v>
      </c>
      <c r="F16" s="21" t="s">
        <v>319</v>
      </c>
      <c r="G16" s="340" t="s">
        <v>339</v>
      </c>
      <c r="I16" s="21" t="s">
        <v>389</v>
      </c>
      <c r="J16" s="21" t="s">
        <v>389</v>
      </c>
      <c r="K16" s="21" t="s">
        <v>389</v>
      </c>
      <c r="L16" s="21" t="s">
        <v>389</v>
      </c>
      <c r="M16" s="21" t="s">
        <v>389</v>
      </c>
      <c r="N16" s="21" t="s">
        <v>389</v>
      </c>
      <c r="O16" s="21" t="s">
        <v>361</v>
      </c>
      <c r="P16" s="21" t="s">
        <v>389</v>
      </c>
      <c r="Q16" s="21" t="s">
        <v>389</v>
      </c>
      <c r="R16" s="21" t="s">
        <v>389</v>
      </c>
      <c r="S16" s="21" t="s">
        <v>389</v>
      </c>
      <c r="T16" s="21" t="s">
        <v>389</v>
      </c>
    </row>
    <row r="17" spans="1:68" s="21" customFormat="1" ht="7.5" customHeight="1">
      <c r="A17" s="823"/>
      <c r="B17" s="823"/>
      <c r="C17" s="823"/>
      <c r="E17" s="21" t="s">
        <v>138</v>
      </c>
      <c r="F17" s="21" t="s">
        <v>320</v>
      </c>
      <c r="G17" s="340" t="s">
        <v>340</v>
      </c>
    </row>
    <row r="18" spans="1:68" s="21" customFormat="1" ht="18.75">
      <c r="A18" s="371" t="str">
        <f>IF('Theme Astral'!C1="oui","Votre Thème Astral","")</f>
        <v/>
      </c>
      <c r="B18" s="371" t="str">
        <f>IF('Signe Chinois'!C1="oui","Votre Signe Chinois","")</f>
        <v/>
      </c>
      <c r="C18" s="371" t="str">
        <f>IF('Signe Egyptien'!C1="oui","Votre Signe Egyptien","")</f>
        <v/>
      </c>
      <c r="E18" s="21" t="s">
        <v>143</v>
      </c>
      <c r="F18" s="21" t="s">
        <v>321</v>
      </c>
      <c r="G18" s="340" t="s">
        <v>341</v>
      </c>
    </row>
    <row r="19" spans="1:68" s="21" customFormat="1" ht="9" customHeight="1">
      <c r="A19" s="823"/>
      <c r="B19" s="823"/>
      <c r="C19" s="823"/>
      <c r="E19" s="21" t="s">
        <v>146</v>
      </c>
      <c r="F19" s="21" t="s">
        <v>322</v>
      </c>
      <c r="G19" s="340" t="s">
        <v>342</v>
      </c>
      <c r="I19" s="342" t="s">
        <v>312</v>
      </c>
      <c r="J19" s="342" t="s">
        <v>313</v>
      </c>
      <c r="K19" s="342" t="s">
        <v>314</v>
      </c>
      <c r="L19" s="342" t="s">
        <v>315</v>
      </c>
      <c r="M19" s="342" t="s">
        <v>316</v>
      </c>
      <c r="N19" s="342" t="s">
        <v>317</v>
      </c>
      <c r="O19" s="342" t="s">
        <v>318</v>
      </c>
      <c r="P19" s="342" t="s">
        <v>319</v>
      </c>
      <c r="Q19" s="342" t="s">
        <v>320</v>
      </c>
      <c r="R19" s="342" t="s">
        <v>321</v>
      </c>
      <c r="S19" s="342" t="s">
        <v>322</v>
      </c>
      <c r="T19" s="342" t="s">
        <v>323</v>
      </c>
    </row>
    <row r="20" spans="1:68" s="21" customFormat="1" hidden="1">
      <c r="A20" s="429"/>
      <c r="B20" s="429"/>
      <c r="C20" s="429"/>
      <c r="E20" s="21" t="s">
        <v>304</v>
      </c>
      <c r="F20" s="21" t="s">
        <v>323</v>
      </c>
      <c r="G20" s="340" t="s">
        <v>343</v>
      </c>
      <c r="I20" s="21" t="str">
        <f>I19&amp;"_El._"&amp;$F$23</f>
        <v>Rat_El._Feu</v>
      </c>
      <c r="J20" s="21" t="str">
        <f t="shared" ref="J20:T20" si="0">J19&amp;"_El._"&amp;$F$23</f>
        <v>Bœuf_El._Feu</v>
      </c>
      <c r="K20" s="21" t="str">
        <f t="shared" si="0"/>
        <v>Tigre_El._Feu</v>
      </c>
      <c r="L20" s="21" t="str">
        <f t="shared" si="0"/>
        <v>Lièvre_El._Feu</v>
      </c>
      <c r="M20" s="21" t="str">
        <f t="shared" si="0"/>
        <v>Dragon_El._Feu</v>
      </c>
      <c r="N20" s="21" t="str">
        <f t="shared" si="0"/>
        <v>Serpent_El._Feu</v>
      </c>
      <c r="O20" s="21" t="str">
        <f t="shared" si="0"/>
        <v>Cheval_El._Feu</v>
      </c>
      <c r="P20" s="21" t="str">
        <f t="shared" si="0"/>
        <v>Chèvre_El._Feu</v>
      </c>
      <c r="Q20" s="21" t="str">
        <f t="shared" si="0"/>
        <v>Singe_El._Feu</v>
      </c>
      <c r="R20" s="21" t="str">
        <f t="shared" si="0"/>
        <v>Coq_El._Feu</v>
      </c>
      <c r="S20" s="21" t="str">
        <f t="shared" si="0"/>
        <v>Chien_El._Feu</v>
      </c>
      <c r="T20" s="21" t="str">
        <f t="shared" si="0"/>
        <v>Cochon_El._Feu</v>
      </c>
    </row>
    <row r="21" spans="1:68" s="21" customFormat="1" hidden="1">
      <c r="A21" s="429"/>
      <c r="B21" s="429"/>
      <c r="C21" s="429"/>
      <c r="G21" s="340"/>
      <c r="I21" s="21" t="str">
        <f>I19&amp;"_El._"&amp;$F$24</f>
        <v>Rat_El._Terre</v>
      </c>
      <c r="J21" s="21" t="str">
        <f t="shared" ref="J21:T21" si="1">J19&amp;"_El._"&amp;$F$24</f>
        <v>Bœuf_El._Terre</v>
      </c>
      <c r="K21" s="21" t="str">
        <f t="shared" si="1"/>
        <v>Tigre_El._Terre</v>
      </c>
      <c r="L21" s="21" t="str">
        <f t="shared" si="1"/>
        <v>Lièvre_El._Terre</v>
      </c>
      <c r="M21" s="21" t="str">
        <f t="shared" si="1"/>
        <v>Dragon_El._Terre</v>
      </c>
      <c r="N21" s="21" t="str">
        <f t="shared" si="1"/>
        <v>Serpent_El._Terre</v>
      </c>
      <c r="O21" s="21" t="str">
        <f t="shared" si="1"/>
        <v>Cheval_El._Terre</v>
      </c>
      <c r="P21" s="21" t="str">
        <f t="shared" si="1"/>
        <v>Chèvre_El._Terre</v>
      </c>
      <c r="Q21" s="21" t="str">
        <f t="shared" si="1"/>
        <v>Singe_El._Terre</v>
      </c>
      <c r="R21" s="21" t="str">
        <f t="shared" si="1"/>
        <v>Coq_El._Terre</v>
      </c>
      <c r="S21" s="21" t="str">
        <f t="shared" si="1"/>
        <v>Chien_El._Terre</v>
      </c>
      <c r="T21" s="21" t="str">
        <f t="shared" si="1"/>
        <v>Cochon_El._Terre</v>
      </c>
    </row>
    <row r="22" spans="1:68" s="21" customFormat="1" hidden="1">
      <c r="A22" s="429"/>
      <c r="B22" s="429"/>
      <c r="C22" s="429"/>
      <c r="F22" s="342" t="s">
        <v>384</v>
      </c>
      <c r="G22" s="340"/>
      <c r="I22" s="21" t="str">
        <f>I19&amp;"_El._"&amp;$F$25</f>
        <v>Rat_El._Métal</v>
      </c>
      <c r="J22" s="21" t="str">
        <f t="shared" ref="J22:T22" si="2">J19&amp;"_El._"&amp;$F$25</f>
        <v>Bœuf_El._Métal</v>
      </c>
      <c r="K22" s="21" t="str">
        <f t="shared" si="2"/>
        <v>Tigre_El._Métal</v>
      </c>
      <c r="L22" s="21" t="str">
        <f t="shared" si="2"/>
        <v>Lièvre_El._Métal</v>
      </c>
      <c r="M22" s="21" t="str">
        <f t="shared" si="2"/>
        <v>Dragon_El._Métal</v>
      </c>
      <c r="N22" s="21" t="str">
        <f t="shared" si="2"/>
        <v>Serpent_El._Métal</v>
      </c>
      <c r="O22" s="21" t="str">
        <f t="shared" si="2"/>
        <v>Cheval_El._Métal</v>
      </c>
      <c r="P22" s="21" t="str">
        <f t="shared" si="2"/>
        <v>Chèvre_El._Métal</v>
      </c>
      <c r="Q22" s="21" t="str">
        <f t="shared" si="2"/>
        <v>Singe_El._Métal</v>
      </c>
      <c r="R22" s="21" t="str">
        <f t="shared" si="2"/>
        <v>Coq_El._Métal</v>
      </c>
      <c r="S22" s="21" t="str">
        <f t="shared" si="2"/>
        <v>Chien_El._Métal</v>
      </c>
      <c r="T22" s="21" t="str">
        <f t="shared" si="2"/>
        <v>Cochon_El._Métal</v>
      </c>
    </row>
    <row r="23" spans="1:68" s="21" customFormat="1" ht="8.25" hidden="1" customHeight="1">
      <c r="A23" s="429"/>
      <c r="B23" s="429"/>
      <c r="C23" s="429"/>
      <c r="F23" s="21" t="s">
        <v>327</v>
      </c>
      <c r="G23" s="340"/>
      <c r="I23" s="21" t="str">
        <f>I19&amp;"_El._"&amp;$F$26</f>
        <v>Rat_El._Eau</v>
      </c>
      <c r="J23" s="21" t="str">
        <f t="shared" ref="J23:T23" si="3">J19&amp;"_El._"&amp;$F$26</f>
        <v>Bœuf_El._Eau</v>
      </c>
      <c r="K23" s="21" t="str">
        <f t="shared" si="3"/>
        <v>Tigre_El._Eau</v>
      </c>
      <c r="L23" s="21" t="str">
        <f t="shared" si="3"/>
        <v>Lièvre_El._Eau</v>
      </c>
      <c r="M23" s="21" t="str">
        <f t="shared" si="3"/>
        <v>Dragon_El._Eau</v>
      </c>
      <c r="N23" s="21" t="str">
        <f t="shared" si="3"/>
        <v>Serpent_El._Eau</v>
      </c>
      <c r="O23" s="21" t="str">
        <f t="shared" si="3"/>
        <v>Cheval_El._Eau</v>
      </c>
      <c r="P23" s="21" t="str">
        <f t="shared" si="3"/>
        <v>Chèvre_El._Eau</v>
      </c>
      <c r="Q23" s="21" t="str">
        <f t="shared" si="3"/>
        <v>Singe_El._Eau</v>
      </c>
      <c r="R23" s="21" t="str">
        <f t="shared" si="3"/>
        <v>Coq_El._Eau</v>
      </c>
      <c r="S23" s="21" t="str">
        <f t="shared" si="3"/>
        <v>Chien_El._Eau</v>
      </c>
      <c r="T23" s="21" t="str">
        <f t="shared" si="3"/>
        <v>Cochon_El._Eau</v>
      </c>
    </row>
    <row r="24" spans="1:68" s="21" customFormat="1" hidden="1">
      <c r="A24" s="429"/>
      <c r="B24" s="429"/>
      <c r="C24" s="429"/>
      <c r="F24" s="21" t="s">
        <v>328</v>
      </c>
      <c r="I24" s="21" t="str">
        <f>I19&amp;"_El._"&amp;$F$27</f>
        <v>Rat_El._Bois</v>
      </c>
      <c r="J24" s="21" t="str">
        <f t="shared" ref="J24:T24" si="4">J19&amp;"_El._"&amp;$F$27</f>
        <v>Bœuf_El._Bois</v>
      </c>
      <c r="K24" s="21" t="str">
        <f t="shared" si="4"/>
        <v>Tigre_El._Bois</v>
      </c>
      <c r="L24" s="21" t="str">
        <f t="shared" si="4"/>
        <v>Lièvre_El._Bois</v>
      </c>
      <c r="M24" s="21" t="str">
        <f t="shared" si="4"/>
        <v>Dragon_El._Bois</v>
      </c>
      <c r="N24" s="21" t="str">
        <f t="shared" si="4"/>
        <v>Serpent_El._Bois</v>
      </c>
      <c r="O24" s="21" t="str">
        <f t="shared" si="4"/>
        <v>Cheval_El._Bois</v>
      </c>
      <c r="P24" s="21" t="str">
        <f t="shared" si="4"/>
        <v>Chèvre_El._Bois</v>
      </c>
      <c r="Q24" s="21" t="str">
        <f t="shared" si="4"/>
        <v>Singe_El._Bois</v>
      </c>
      <c r="R24" s="21" t="str">
        <f t="shared" si="4"/>
        <v>Coq_El._Bois</v>
      </c>
      <c r="S24" s="21" t="str">
        <f t="shared" si="4"/>
        <v>Chien_El._Bois</v>
      </c>
      <c r="T24" s="21" t="str">
        <f t="shared" si="4"/>
        <v>Cochon_El._Bois</v>
      </c>
    </row>
    <row r="25" spans="1:68" s="21" customFormat="1" ht="7.5" hidden="1" customHeight="1">
      <c r="A25" s="429"/>
      <c r="B25" s="429"/>
      <c r="C25" s="429"/>
      <c r="F25" s="21" t="s">
        <v>324</v>
      </c>
    </row>
    <row r="26" spans="1:68" s="21" customFormat="1" hidden="1">
      <c r="A26" s="429"/>
      <c r="B26" s="429"/>
      <c r="C26" s="429"/>
      <c r="F26" s="21" t="s">
        <v>325</v>
      </c>
    </row>
    <row r="27" spans="1:68" s="21" customFormat="1" hidden="1">
      <c r="A27" s="429"/>
      <c r="B27" s="429"/>
      <c r="C27" s="429"/>
      <c r="F27" s="21" t="s">
        <v>326</v>
      </c>
    </row>
    <row r="28" spans="1:68" s="21" customFormat="1" hidden="1">
      <c r="A28" s="429"/>
      <c r="B28" s="429"/>
      <c r="C28" s="429"/>
    </row>
    <row r="29" spans="1:68" s="21" customFormat="1" hidden="1">
      <c r="A29" s="429"/>
      <c r="B29" s="429"/>
      <c r="C29" s="429"/>
      <c r="I29" s="342" t="str">
        <f>I22</f>
        <v>Rat_El._Métal</v>
      </c>
      <c r="J29" s="342" t="str">
        <f>I23</f>
        <v>Rat_El._Eau</v>
      </c>
      <c r="K29" s="342" t="str">
        <f>I24</f>
        <v>Rat_El._Bois</v>
      </c>
      <c r="L29" s="342" t="str">
        <f>I20</f>
        <v>Rat_El._Feu</v>
      </c>
      <c r="M29" s="342" t="str">
        <f>I21</f>
        <v>Rat_El._Terre</v>
      </c>
      <c r="N29" s="342" t="str">
        <f>J22</f>
        <v>Bœuf_El._Métal</v>
      </c>
      <c r="O29" s="342" t="str">
        <f>J23</f>
        <v>Bœuf_El._Eau</v>
      </c>
      <c r="P29" s="342" t="str">
        <f>J24</f>
        <v>Bœuf_El._Bois</v>
      </c>
      <c r="Q29" s="342" t="str">
        <f>J20</f>
        <v>Bœuf_El._Feu</v>
      </c>
      <c r="R29" s="342" t="str">
        <f>J21</f>
        <v>Bœuf_El._Terre</v>
      </c>
      <c r="S29" s="342" t="str">
        <f>K23</f>
        <v>Tigre_El._Eau</v>
      </c>
      <c r="T29" s="342" t="str">
        <f>K24</f>
        <v>Tigre_El._Bois</v>
      </c>
      <c r="U29" s="342" t="str">
        <f>K20</f>
        <v>Tigre_El._Feu</v>
      </c>
      <c r="V29" s="342" t="str">
        <f>K21</f>
        <v>Tigre_El._Terre</v>
      </c>
      <c r="W29" s="342" t="str">
        <f>K22</f>
        <v>Tigre_El._Métal</v>
      </c>
      <c r="X29" s="342" t="str">
        <f>L23</f>
        <v>Lièvre_El._Eau</v>
      </c>
      <c r="Y29" s="342" t="str">
        <f>L24</f>
        <v>Lièvre_El._Bois</v>
      </c>
      <c r="Z29" s="342" t="str">
        <f>L20</f>
        <v>Lièvre_El._Feu</v>
      </c>
      <c r="AA29" s="342" t="str">
        <f>L21</f>
        <v>Lièvre_El._Terre</v>
      </c>
      <c r="AB29" s="342" t="str">
        <f>L22</f>
        <v>Lièvre_El._Métal</v>
      </c>
      <c r="AC29" s="342" t="str">
        <f>M24</f>
        <v>Dragon_El._Bois</v>
      </c>
      <c r="AD29" s="342" t="str">
        <f>M20</f>
        <v>Dragon_El._Feu</v>
      </c>
      <c r="AE29" s="342" t="str">
        <f>M21</f>
        <v>Dragon_El._Terre</v>
      </c>
      <c r="AF29" s="342" t="str">
        <f>M22</f>
        <v>Dragon_El._Métal</v>
      </c>
      <c r="AG29" s="342" t="str">
        <f>M23</f>
        <v>Dragon_El._Eau</v>
      </c>
      <c r="AH29" s="342" t="str">
        <f>N24</f>
        <v>Serpent_El._Bois</v>
      </c>
      <c r="AI29" s="342" t="str">
        <f>N20</f>
        <v>Serpent_El._Feu</v>
      </c>
      <c r="AJ29" s="342" t="str">
        <f>N21</f>
        <v>Serpent_El._Terre</v>
      </c>
      <c r="AK29" s="342" t="str">
        <f>N22</f>
        <v>Serpent_El._Métal</v>
      </c>
      <c r="AL29" s="342" t="str">
        <f>N23</f>
        <v>Serpent_El._Eau</v>
      </c>
      <c r="AM29" s="342" t="str">
        <f>O20</f>
        <v>Cheval_El._Feu</v>
      </c>
      <c r="AN29" s="342" t="str">
        <f>O21</f>
        <v>Cheval_El._Terre</v>
      </c>
      <c r="AO29" s="342" t="str">
        <f>O22</f>
        <v>Cheval_El._Métal</v>
      </c>
      <c r="AP29" s="342" t="str">
        <f>O23</f>
        <v>Cheval_El._Eau</v>
      </c>
      <c r="AQ29" s="342" t="str">
        <f>O24</f>
        <v>Cheval_El._Bois</v>
      </c>
      <c r="AR29" s="342" t="str">
        <f>P20</f>
        <v>Chèvre_El._Feu</v>
      </c>
      <c r="AS29" s="342" t="str">
        <f>P21</f>
        <v>Chèvre_El._Terre</v>
      </c>
      <c r="AT29" s="342" t="str">
        <f>P22</f>
        <v>Chèvre_El._Métal</v>
      </c>
      <c r="AU29" s="342" t="str">
        <f>P23</f>
        <v>Chèvre_El._Eau</v>
      </c>
      <c r="AV29" s="342" t="str">
        <f>P24</f>
        <v>Chèvre_El._Bois</v>
      </c>
      <c r="AW29" s="342" t="str">
        <f>Q21</f>
        <v>Singe_El._Terre</v>
      </c>
      <c r="AX29" s="342" t="str">
        <f>Q22</f>
        <v>Singe_El._Métal</v>
      </c>
      <c r="AY29" s="342" t="str">
        <f>Q23</f>
        <v>Singe_El._Eau</v>
      </c>
      <c r="AZ29" s="342" t="str">
        <f>Q24</f>
        <v>Singe_El._Bois</v>
      </c>
      <c r="BA29" s="342" t="str">
        <f>Q20</f>
        <v>Singe_El._Feu</v>
      </c>
      <c r="BB29" s="342" t="str">
        <f>R21</f>
        <v>Coq_El._Terre</v>
      </c>
      <c r="BC29" s="342" t="str">
        <f>R22</f>
        <v>Coq_El._Métal</v>
      </c>
      <c r="BD29" s="342" t="str">
        <f>R23</f>
        <v>Coq_El._Eau</v>
      </c>
      <c r="BE29" s="342" t="str">
        <f>R24</f>
        <v>Coq_El._Bois</v>
      </c>
      <c r="BF29" s="342" t="str">
        <f>R20</f>
        <v>Coq_El._Feu</v>
      </c>
      <c r="BG29" s="342" t="str">
        <f>S22</f>
        <v>Chien_El._Métal</v>
      </c>
      <c r="BH29" s="342" t="str">
        <f>S23</f>
        <v>Chien_El._Eau</v>
      </c>
      <c r="BI29" s="342" t="str">
        <f>S24</f>
        <v>Chien_El._Bois</v>
      </c>
      <c r="BJ29" s="342" t="str">
        <f>S20</f>
        <v>Chien_El._Feu</v>
      </c>
      <c r="BK29" s="342" t="str">
        <f>S21</f>
        <v>Chien_El._Terre</v>
      </c>
      <c r="BL29" s="342" t="str">
        <f>T22</f>
        <v>Cochon_El._Métal</v>
      </c>
      <c r="BM29" s="342" t="str">
        <f>T23</f>
        <v>Cochon_El._Eau</v>
      </c>
      <c r="BN29" s="342" t="str">
        <f>T24</f>
        <v>Cochon_El._Bois</v>
      </c>
      <c r="BO29" s="342" t="str">
        <f>T20</f>
        <v>Cochon_El._Feu</v>
      </c>
      <c r="BP29" s="342" t="str">
        <f>T21</f>
        <v>Cochon_El._Terre</v>
      </c>
    </row>
    <row r="30" spans="1:68" s="21" customFormat="1" hidden="1">
      <c r="A30" s="429"/>
      <c r="B30" s="429"/>
      <c r="C30" s="429"/>
      <c r="I30" s="21">
        <v>1900</v>
      </c>
      <c r="J30" s="21">
        <v>1912</v>
      </c>
      <c r="K30" s="21">
        <v>1924</v>
      </c>
      <c r="L30" s="21">
        <v>1936</v>
      </c>
      <c r="M30" s="21">
        <v>1948</v>
      </c>
      <c r="N30" s="21">
        <v>1901</v>
      </c>
      <c r="O30" s="21">
        <f>N30+12</f>
        <v>1913</v>
      </c>
      <c r="P30" s="21">
        <f>O30+12</f>
        <v>1925</v>
      </c>
      <c r="Q30" s="21">
        <f>P30+12</f>
        <v>1937</v>
      </c>
      <c r="R30" s="21">
        <f>Q30+12</f>
        <v>1949</v>
      </c>
      <c r="S30" s="21">
        <v>1902</v>
      </c>
      <c r="T30" s="21">
        <f>S30+12</f>
        <v>1914</v>
      </c>
      <c r="U30" s="21">
        <f>T30+12</f>
        <v>1926</v>
      </c>
      <c r="V30" s="21">
        <f>U30+12</f>
        <v>1938</v>
      </c>
      <c r="W30" s="21">
        <f>V30+12</f>
        <v>1950</v>
      </c>
      <c r="X30" s="21">
        <v>1903</v>
      </c>
      <c r="Y30" s="21">
        <f>X30+12</f>
        <v>1915</v>
      </c>
      <c r="Z30" s="21">
        <f>Y30+12</f>
        <v>1927</v>
      </c>
      <c r="AA30" s="21">
        <f>Z30+12</f>
        <v>1939</v>
      </c>
      <c r="AB30" s="21">
        <f>AA30+12</f>
        <v>1951</v>
      </c>
      <c r="AC30" s="21">
        <v>1904</v>
      </c>
      <c r="AD30" s="21">
        <f>AC30+12</f>
        <v>1916</v>
      </c>
      <c r="AE30" s="21">
        <f>AD30+12</f>
        <v>1928</v>
      </c>
      <c r="AF30" s="21">
        <f>AE30+12</f>
        <v>1940</v>
      </c>
      <c r="AG30" s="21">
        <f>AF30+12</f>
        <v>1952</v>
      </c>
      <c r="AH30" s="21">
        <v>1905</v>
      </c>
      <c r="AI30" s="21">
        <f>AH30+12</f>
        <v>1917</v>
      </c>
      <c r="AJ30" s="21">
        <f>AI30+12</f>
        <v>1929</v>
      </c>
      <c r="AK30" s="21">
        <f>AJ30+12</f>
        <v>1941</v>
      </c>
      <c r="AL30" s="21">
        <f>AK30+12</f>
        <v>1953</v>
      </c>
      <c r="AM30" s="21">
        <v>1906</v>
      </c>
      <c r="AN30" s="21">
        <f>AM30+12</f>
        <v>1918</v>
      </c>
      <c r="AO30" s="21">
        <f>AN30+12</f>
        <v>1930</v>
      </c>
      <c r="AP30" s="21">
        <f>AO30+12</f>
        <v>1942</v>
      </c>
      <c r="AQ30" s="21">
        <f>AP30+12</f>
        <v>1954</v>
      </c>
      <c r="AR30" s="21">
        <v>1907</v>
      </c>
      <c r="AS30" s="21">
        <f>AR30+12</f>
        <v>1919</v>
      </c>
      <c r="AT30" s="21">
        <f>AS30+12</f>
        <v>1931</v>
      </c>
      <c r="AU30" s="21">
        <f>AT30+12</f>
        <v>1943</v>
      </c>
      <c r="AV30" s="21">
        <f>AU30+12</f>
        <v>1955</v>
      </c>
      <c r="AW30" s="21">
        <v>1908</v>
      </c>
      <c r="AX30" s="21">
        <f>AW30+12</f>
        <v>1920</v>
      </c>
      <c r="AY30" s="21">
        <f>AX30+12</f>
        <v>1932</v>
      </c>
      <c r="AZ30" s="21">
        <f>AY30+12</f>
        <v>1944</v>
      </c>
      <c r="BA30" s="21">
        <f>AZ30+12</f>
        <v>1956</v>
      </c>
      <c r="BB30" s="21">
        <v>1909</v>
      </c>
      <c r="BC30" s="21">
        <f>BB30+12</f>
        <v>1921</v>
      </c>
      <c r="BD30" s="21">
        <f>BC30+12</f>
        <v>1933</v>
      </c>
      <c r="BE30" s="21">
        <f>BD30+12</f>
        <v>1945</v>
      </c>
      <c r="BF30" s="21">
        <f>BE30+12</f>
        <v>1957</v>
      </c>
      <c r="BG30" s="21">
        <v>1910</v>
      </c>
      <c r="BH30" s="21">
        <v>1912</v>
      </c>
      <c r="BI30" s="21">
        <v>1924</v>
      </c>
      <c r="BJ30" s="21">
        <v>1936</v>
      </c>
      <c r="BK30" s="21">
        <v>1948</v>
      </c>
      <c r="BL30" s="21">
        <v>1911</v>
      </c>
      <c r="BM30" s="21">
        <f>BL30+12</f>
        <v>1923</v>
      </c>
      <c r="BN30" s="21">
        <f>BM30+12</f>
        <v>1935</v>
      </c>
      <c r="BO30" s="21">
        <f>BN30+12</f>
        <v>1947</v>
      </c>
      <c r="BP30" s="21">
        <f>BO30+12</f>
        <v>1959</v>
      </c>
    </row>
    <row r="31" spans="1:68" s="21" customFormat="1" hidden="1">
      <c r="A31" s="429"/>
      <c r="B31" s="429"/>
      <c r="C31" s="429"/>
      <c r="I31" s="21">
        <f t="shared" ref="I31:N31" si="5">I30+60</f>
        <v>1960</v>
      </c>
      <c r="J31" s="21">
        <f t="shared" si="5"/>
        <v>1972</v>
      </c>
      <c r="K31" s="21">
        <f t="shared" si="5"/>
        <v>1984</v>
      </c>
      <c r="L31" s="21">
        <f t="shared" si="5"/>
        <v>1996</v>
      </c>
      <c r="M31" s="21">
        <f t="shared" si="5"/>
        <v>2008</v>
      </c>
      <c r="N31" s="21">
        <f t="shared" si="5"/>
        <v>1961</v>
      </c>
      <c r="O31" s="21">
        <f t="shared" ref="O31:BF31" si="6">O30+60</f>
        <v>1973</v>
      </c>
      <c r="P31" s="21">
        <f t="shared" si="6"/>
        <v>1985</v>
      </c>
      <c r="Q31" s="21">
        <f t="shared" si="6"/>
        <v>1997</v>
      </c>
      <c r="R31" s="21">
        <f t="shared" si="6"/>
        <v>2009</v>
      </c>
      <c r="S31" s="21">
        <f t="shared" si="6"/>
        <v>1962</v>
      </c>
      <c r="T31" s="21">
        <f t="shared" si="6"/>
        <v>1974</v>
      </c>
      <c r="U31" s="21">
        <f t="shared" si="6"/>
        <v>1986</v>
      </c>
      <c r="V31" s="21">
        <f t="shared" si="6"/>
        <v>1998</v>
      </c>
      <c r="W31" s="21">
        <f t="shared" si="6"/>
        <v>2010</v>
      </c>
      <c r="X31" s="21">
        <f t="shared" si="6"/>
        <v>1963</v>
      </c>
      <c r="Y31" s="21">
        <f t="shared" si="6"/>
        <v>1975</v>
      </c>
      <c r="Z31" s="21">
        <f t="shared" si="6"/>
        <v>1987</v>
      </c>
      <c r="AA31" s="21">
        <f t="shared" si="6"/>
        <v>1999</v>
      </c>
      <c r="AB31" s="21">
        <f t="shared" si="6"/>
        <v>2011</v>
      </c>
      <c r="AC31" s="21">
        <f t="shared" si="6"/>
        <v>1964</v>
      </c>
      <c r="AD31" s="21">
        <f t="shared" si="6"/>
        <v>1976</v>
      </c>
      <c r="AE31" s="21">
        <f t="shared" si="6"/>
        <v>1988</v>
      </c>
      <c r="AF31" s="21">
        <f t="shared" si="6"/>
        <v>2000</v>
      </c>
      <c r="AG31" s="21">
        <f t="shared" si="6"/>
        <v>2012</v>
      </c>
      <c r="AH31" s="21">
        <f t="shared" si="6"/>
        <v>1965</v>
      </c>
      <c r="AI31" s="21">
        <f t="shared" si="6"/>
        <v>1977</v>
      </c>
      <c r="AJ31" s="21">
        <f t="shared" si="6"/>
        <v>1989</v>
      </c>
      <c r="AK31" s="21">
        <f t="shared" si="6"/>
        <v>2001</v>
      </c>
      <c r="AL31" s="21">
        <f t="shared" si="6"/>
        <v>2013</v>
      </c>
      <c r="AM31" s="21">
        <f t="shared" si="6"/>
        <v>1966</v>
      </c>
      <c r="AN31" s="21">
        <f t="shared" si="6"/>
        <v>1978</v>
      </c>
      <c r="AO31" s="21">
        <f t="shared" si="6"/>
        <v>1990</v>
      </c>
      <c r="AP31" s="21">
        <f t="shared" si="6"/>
        <v>2002</v>
      </c>
      <c r="AQ31" s="21">
        <f t="shared" si="6"/>
        <v>2014</v>
      </c>
      <c r="AR31" s="21">
        <f t="shared" si="6"/>
        <v>1967</v>
      </c>
      <c r="AS31" s="21">
        <f t="shared" si="6"/>
        <v>1979</v>
      </c>
      <c r="AT31" s="21">
        <f t="shared" si="6"/>
        <v>1991</v>
      </c>
      <c r="AU31" s="21">
        <f t="shared" si="6"/>
        <v>2003</v>
      </c>
      <c r="AV31" s="21">
        <f t="shared" si="6"/>
        <v>2015</v>
      </c>
      <c r="AW31" s="21">
        <f t="shared" si="6"/>
        <v>1968</v>
      </c>
      <c r="AX31" s="21">
        <f t="shared" si="6"/>
        <v>1980</v>
      </c>
      <c r="AY31" s="21">
        <f t="shared" si="6"/>
        <v>1992</v>
      </c>
      <c r="AZ31" s="21">
        <f t="shared" si="6"/>
        <v>2004</v>
      </c>
      <c r="BA31" s="21">
        <f t="shared" si="6"/>
        <v>2016</v>
      </c>
      <c r="BB31" s="21">
        <f t="shared" si="6"/>
        <v>1969</v>
      </c>
      <c r="BC31" s="21">
        <f t="shared" si="6"/>
        <v>1981</v>
      </c>
      <c r="BD31" s="21">
        <f t="shared" si="6"/>
        <v>1993</v>
      </c>
      <c r="BE31" s="21">
        <f t="shared" si="6"/>
        <v>2005</v>
      </c>
      <c r="BF31" s="21">
        <f t="shared" si="6"/>
        <v>2017</v>
      </c>
      <c r="BG31" s="21">
        <f t="shared" ref="BG31:BL31" si="7">BG30+60</f>
        <v>1970</v>
      </c>
      <c r="BH31" s="21">
        <f t="shared" si="7"/>
        <v>1972</v>
      </c>
      <c r="BI31" s="21">
        <f t="shared" si="7"/>
        <v>1984</v>
      </c>
      <c r="BJ31" s="21">
        <f t="shared" si="7"/>
        <v>1996</v>
      </c>
      <c r="BK31" s="21">
        <f t="shared" si="7"/>
        <v>2008</v>
      </c>
      <c r="BL31" s="21">
        <f t="shared" si="7"/>
        <v>1971</v>
      </c>
      <c r="BM31" s="21">
        <f>BM30+60</f>
        <v>1983</v>
      </c>
      <c r="BN31" s="21">
        <f>BN30+60</f>
        <v>1995</v>
      </c>
      <c r="BO31" s="21">
        <f>BO30+60</f>
        <v>2007</v>
      </c>
      <c r="BP31" s="21">
        <f>BP30+60</f>
        <v>2019</v>
      </c>
    </row>
    <row r="32" spans="1:68" s="21" customFormat="1" hidden="1">
      <c r="A32" s="429"/>
      <c r="B32" s="429"/>
      <c r="C32" s="429"/>
    </row>
    <row r="33" spans="1:3" s="21" customFormat="1" hidden="1">
      <c r="A33" s="429"/>
      <c r="B33" s="429"/>
      <c r="C33" s="429"/>
    </row>
    <row r="34" spans="1:3" s="21" customFormat="1" hidden="1">
      <c r="A34" s="429"/>
      <c r="B34" s="429"/>
      <c r="C34" s="429"/>
    </row>
  </sheetData>
  <sheetProtection password="8B0A" sheet="1" objects="1" scenarios="1"/>
  <mergeCells count="12">
    <mergeCell ref="A1:C2"/>
    <mergeCell ref="A6:C6"/>
    <mergeCell ref="A16:C16"/>
    <mergeCell ref="A19:C19"/>
    <mergeCell ref="A17:C17"/>
    <mergeCell ref="A13:C13"/>
    <mergeCell ref="A5:C5"/>
    <mergeCell ref="A15:C15"/>
    <mergeCell ref="A3:A4"/>
    <mergeCell ref="B3:B4"/>
    <mergeCell ref="C3:C4"/>
    <mergeCell ref="A8:C8"/>
  </mergeCells>
  <conditionalFormatting sqref="A3">
    <cfRule type="iconSet" priority="18">
      <iconSet iconSet="3TrafficLights2" showValue="0" reverse="1">
        <cfvo type="percent" val="0"/>
        <cfvo type="num" val="1"/>
        <cfvo type="num" val="2"/>
      </iconSet>
    </cfRule>
  </conditionalFormatting>
  <conditionalFormatting sqref="B3">
    <cfRule type="iconSet" priority="17">
      <iconSet iconSet="3TrafficLights2" showValue="0" reverse="1">
        <cfvo type="percent" val="0"/>
        <cfvo type="num" val="1"/>
        <cfvo type="num" val="2"/>
      </iconSet>
    </cfRule>
  </conditionalFormatting>
  <conditionalFormatting sqref="C3">
    <cfRule type="iconSet" priority="16">
      <iconSet iconSet="3TrafficLights2" showValue="0" reverse="1">
        <cfvo type="percent" val="0"/>
        <cfvo type="num" val="1"/>
        <cfvo type="num" val="2"/>
      </iconSet>
    </cfRule>
  </conditionalFormatting>
  <conditionalFormatting sqref="A12">
    <cfRule type="iconSet" priority="15">
      <iconSet iconSet="3TrafficLights2" showValue="0" reverse="1">
        <cfvo type="percent" val="0"/>
        <cfvo type="num" val="1"/>
        <cfvo type="num" val="2"/>
      </iconSet>
    </cfRule>
  </conditionalFormatting>
  <conditionalFormatting sqref="B12">
    <cfRule type="iconSet" priority="14">
      <iconSet iconSet="3TrafficLights2" showValue="0" reverse="1">
        <cfvo type="percent" val="0"/>
        <cfvo type="num" val="1"/>
        <cfvo type="num" val="2"/>
      </iconSet>
    </cfRule>
  </conditionalFormatting>
  <conditionalFormatting sqref="C12">
    <cfRule type="iconSet" priority="13">
      <iconSet iconSet="3TrafficLights2" showValue="0" reverse="1">
        <cfvo type="percent" val="0"/>
        <cfvo type="num" val="1"/>
        <cfvo type="num" val="2"/>
      </iconSet>
    </cfRule>
  </conditionalFormatting>
  <conditionalFormatting sqref="A9">
    <cfRule type="expression" dxfId="251" priority="12">
      <formula>$A$9=""</formula>
    </cfRule>
  </conditionalFormatting>
  <conditionalFormatting sqref="A10">
    <cfRule type="expression" dxfId="250" priority="11">
      <formula>AND(A9&lt;&gt;"",$A$10="")</formula>
    </cfRule>
  </conditionalFormatting>
  <conditionalFormatting sqref="B9">
    <cfRule type="expression" dxfId="249" priority="10">
      <formula>$B$9=""</formula>
    </cfRule>
  </conditionalFormatting>
  <conditionalFormatting sqref="C9">
    <cfRule type="expression" dxfId="248" priority="9">
      <formula>$C$9=""</formula>
    </cfRule>
  </conditionalFormatting>
  <conditionalFormatting sqref="B10">
    <cfRule type="expression" dxfId="247" priority="8">
      <formula>AND(B9&lt;&gt;"",$B$10="")</formula>
    </cfRule>
  </conditionalFormatting>
  <conditionalFormatting sqref="C10">
    <cfRule type="expression" dxfId="246" priority="7">
      <formula>AND(C9&lt;&gt;"",$C$10="")</formula>
    </cfRule>
  </conditionalFormatting>
  <conditionalFormatting sqref="B11">
    <cfRule type="expression" dxfId="245" priority="6">
      <formula>AND(B9&lt;&gt;"",B10&lt;&gt;"",$B$11="")</formula>
    </cfRule>
  </conditionalFormatting>
  <conditionalFormatting sqref="B14">
    <cfRule type="expression" dxfId="244" priority="1">
      <formula>$B$14&lt;&gt;""</formula>
    </cfRule>
    <cfRule type="expression" dxfId="243" priority="5">
      <formula>$A$13="Félicitations!  Ne vous reste plus qu'à trouver ma date de naissance …"</formula>
    </cfRule>
  </conditionalFormatting>
  <conditionalFormatting sqref="A16:C16">
    <cfRule type="expression" dxfId="242" priority="3">
      <formula>$A$16&lt;&gt;""</formula>
    </cfRule>
  </conditionalFormatting>
  <conditionalFormatting sqref="A17:C1048576">
    <cfRule type="expression" dxfId="241" priority="2">
      <formula>$A$16&lt;&gt;""</formula>
    </cfRule>
  </conditionalFormatting>
  <dataValidations count="8">
    <dataValidation type="list" allowBlank="1" showInputMessage="1" showErrorMessage="1" sqref="A9">
      <formula1>Signes_ZODIAC</formula1>
    </dataValidation>
    <dataValidation type="list" allowBlank="1" showInputMessage="1" showErrorMessage="1" sqref="B9">
      <formula1>Signes_CHINOIS</formula1>
    </dataValidation>
    <dataValidation type="list" allowBlank="1" showInputMessage="1" showErrorMessage="1" sqref="C9">
      <formula1>Signes_EGYPTIEN</formula1>
    </dataValidation>
    <dataValidation type="list" allowBlank="1" showInputMessage="1" showErrorMessage="1" sqref="A10">
      <formula1>INDIRECT($A$9)</formula1>
    </dataValidation>
    <dataValidation type="list" allowBlank="1" showInputMessage="1" showErrorMessage="1" sqref="B10">
      <formula1>INDIRECT($B$9)</formula1>
    </dataValidation>
    <dataValidation type="list" allowBlank="1" showInputMessage="1" showErrorMessage="1" sqref="C10">
      <formula1>INDIRECT($C$9)</formula1>
    </dataValidation>
    <dataValidation type="list" allowBlank="1" showInputMessage="1" showErrorMessage="1" sqref="B11">
      <formula1>INDIRECT($B$10)</formula1>
    </dataValidation>
    <dataValidation type="list" allowBlank="1" showInputMessage="1" showErrorMessage="1" sqref="B14">
      <formula1>ANNIVERSAIRE</formula1>
    </dataValidation>
  </dataValidations>
  <pageMargins left="0.7" right="0.7" top="0.75" bottom="0.75" header="0.3" footer="0.3"/>
  <pageSetup paperSize="9" orientation="portrait" verticalDpi="0" r:id="rId1"/>
  <drawing r:id="rId2"/>
</worksheet>
</file>

<file path=xl/worksheets/sheet24.xml><?xml version="1.0" encoding="utf-8"?>
<worksheet xmlns="http://schemas.openxmlformats.org/spreadsheetml/2006/main" xmlns:r="http://schemas.openxmlformats.org/officeDocument/2006/relationships">
  <sheetPr codeName="Feuil14"/>
  <dimension ref="A1:S57"/>
  <sheetViews>
    <sheetView showGridLines="0" showRowColHeaders="0" workbookViewId="0">
      <selection sqref="A1:S1"/>
    </sheetView>
  </sheetViews>
  <sheetFormatPr baseColWidth="10" defaultColWidth="0" defaultRowHeight="15" zeroHeight="1"/>
  <cols>
    <col min="1" max="1" width="8.7109375" style="453" customWidth="1"/>
    <col min="2" max="2" width="16.7109375" style="453" customWidth="1"/>
    <col min="3" max="3" width="8.7109375" style="453" customWidth="1"/>
    <col min="4" max="4" width="16.7109375" style="453" customWidth="1"/>
    <col min="5" max="7" width="11.42578125" style="453" customWidth="1"/>
    <col min="8" max="8" width="11.7109375" style="453" customWidth="1"/>
    <col min="9" max="10" width="11.42578125" style="453" customWidth="1"/>
    <col min="11" max="11" width="11.7109375" style="453" customWidth="1"/>
    <col min="12" max="13" width="11.42578125" style="453" customWidth="1"/>
    <col min="14" max="14" width="11.7109375" style="453" customWidth="1"/>
    <col min="15" max="16" width="11.42578125" style="453" customWidth="1"/>
    <col min="17" max="17" width="11.7109375" style="453" customWidth="1"/>
    <col min="18" max="19" width="11.42578125" style="453" customWidth="1"/>
    <col min="20" max="16384" width="11.42578125" style="429" hidden="1"/>
  </cols>
  <sheetData>
    <row r="1" spans="1:19" ht="44.25" customHeight="1">
      <c r="A1" s="828" t="str">
        <f>IF(A17&lt;&gt;"","Les 13 Signes Astrologiques du Zodiac ?","Les 12 Signes Astrologiques du Zodiac")</f>
        <v>Les 12 Signes Astrologiques du Zodiac</v>
      </c>
      <c r="B1" s="828"/>
      <c r="C1" s="828"/>
      <c r="D1" s="828"/>
      <c r="E1" s="828"/>
      <c r="F1" s="828"/>
      <c r="G1" s="828"/>
      <c r="H1" s="828"/>
      <c r="I1" s="828"/>
      <c r="J1" s="828"/>
      <c r="K1" s="828"/>
      <c r="L1" s="828"/>
      <c r="M1" s="828"/>
      <c r="N1" s="828"/>
      <c r="O1" s="828"/>
      <c r="P1" s="828"/>
      <c r="Q1" s="828"/>
      <c r="R1" s="828"/>
      <c r="S1" s="828"/>
    </row>
    <row r="2" spans="1:19" ht="15" customHeight="1">
      <c r="A2" s="836" t="str">
        <f>IF(OR('Theme Astral'!C1="oui",A18&lt;&gt;""),"Bonus débloqué, Félicitations !!",IF(PARA!E8&lt;&gt;"","Votre signe est '"&amp;PARA!E8&amp;"', mais saurez-vous trouvez le mien pour débloquer le bonus ?","Pour débloquer le bonus, découvrez de quel signe je-suis !"))</f>
        <v>Pour débloquer le bonus, découvrez de quel signe je-suis !</v>
      </c>
      <c r="B2" s="836"/>
      <c r="C2" s="836"/>
      <c r="D2" s="836"/>
      <c r="E2" s="836"/>
      <c r="F2" s="836"/>
      <c r="G2" s="836"/>
      <c r="H2" s="836"/>
      <c r="I2" s="836"/>
      <c r="J2" s="836"/>
      <c r="K2" s="836"/>
      <c r="L2" s="836"/>
      <c r="M2" s="836"/>
      <c r="N2" s="836"/>
      <c r="O2" s="836"/>
      <c r="P2" s="836"/>
      <c r="Q2" s="836"/>
      <c r="R2" s="836"/>
      <c r="S2" s="836"/>
    </row>
    <row r="3" spans="1:19" ht="15" customHeight="1">
      <c r="A3" s="833" t="str">
        <f>IF(E16="","Choississez un des 12 signes astrologiques ci-dessous, apparait-il dans les cartes ci-contre ?   Une fois votre saisie terminée le résultat apparait en dessous des cartes.","Cliquez sur la boule de cristal pour recommencer.")</f>
        <v>Choississez un des 12 signes astrologiques ci-dessous, apparait-il dans les cartes ci-contre ?   Une fois votre saisie terminée le résultat apparait en dessous des cartes.</v>
      </c>
      <c r="B3" s="833"/>
      <c r="C3" s="833"/>
      <c r="D3" s="833"/>
      <c r="E3" s="833"/>
      <c r="F3" s="833"/>
      <c r="G3" s="833"/>
      <c r="H3" s="837"/>
      <c r="I3" s="837"/>
      <c r="J3" s="837"/>
      <c r="K3" s="837"/>
      <c r="L3" s="837"/>
      <c r="M3" s="837"/>
      <c r="N3" s="837"/>
      <c r="O3" s="837"/>
      <c r="P3" s="837"/>
      <c r="Q3" s="837"/>
      <c r="R3" s="837"/>
      <c r="S3" s="837"/>
    </row>
    <row r="4" spans="1:19" ht="15.75">
      <c r="A4" s="833"/>
      <c r="B4" s="833"/>
      <c r="C4" s="833"/>
      <c r="D4" s="833"/>
      <c r="E4" s="833"/>
      <c r="F4" s="833"/>
      <c r="G4" s="833"/>
      <c r="H4" s="357"/>
      <c r="I4" s="830"/>
      <c r="J4" s="830"/>
      <c r="K4" s="357"/>
      <c r="L4" s="830"/>
      <c r="M4" s="830"/>
      <c r="N4" s="357"/>
      <c r="O4" s="830"/>
      <c r="P4" s="830"/>
      <c r="Q4" s="357"/>
      <c r="R4" s="830"/>
      <c r="S4" s="830"/>
    </row>
    <row r="5" spans="1:19" ht="29.25" customHeight="1">
      <c r="A5" s="833"/>
      <c r="B5" s="833"/>
      <c r="C5" s="833"/>
      <c r="D5" s="833"/>
      <c r="E5" s="833"/>
      <c r="F5" s="833"/>
      <c r="G5" s="833"/>
      <c r="H5" s="831">
        <f>IF(H4="oui",1,0)</f>
        <v>0</v>
      </c>
      <c r="I5" s="831"/>
      <c r="J5" s="831"/>
      <c r="K5" s="831">
        <f>IF(K4="oui",2,0)</f>
        <v>0</v>
      </c>
      <c r="L5" s="831"/>
      <c r="M5" s="831"/>
      <c r="N5" s="831">
        <f>IF(N4="oui",4,0)</f>
        <v>0</v>
      </c>
      <c r="O5" s="831"/>
      <c r="P5" s="831"/>
      <c r="Q5" s="831">
        <f>IF(Q4="oui",8,0)</f>
        <v>0</v>
      </c>
      <c r="R5" s="831"/>
      <c r="S5" s="831"/>
    </row>
    <row r="6" spans="1:19" ht="45" customHeight="1">
      <c r="A6" s="352">
        <v>3</v>
      </c>
      <c r="B6" s="353" t="s">
        <v>138</v>
      </c>
      <c r="C6" s="352">
        <v>7</v>
      </c>
      <c r="D6" s="354" t="s">
        <v>142</v>
      </c>
      <c r="E6" s="829"/>
      <c r="F6" s="829"/>
      <c r="G6" s="829"/>
      <c r="H6" s="829"/>
      <c r="I6" s="829"/>
      <c r="J6" s="829"/>
      <c r="K6" s="829"/>
      <c r="L6" s="829"/>
      <c r="M6" s="829"/>
      <c r="N6" s="829"/>
      <c r="O6" s="829"/>
      <c r="P6" s="829"/>
      <c r="Q6" s="829"/>
      <c r="R6" s="829"/>
      <c r="S6" s="829"/>
    </row>
    <row r="7" spans="1:19" ht="15.75" customHeight="1">
      <c r="A7" s="832"/>
      <c r="B7" s="832"/>
      <c r="C7" s="832"/>
      <c r="D7" s="832"/>
      <c r="E7" s="829"/>
      <c r="F7" s="829"/>
      <c r="G7" s="829"/>
      <c r="H7" s="829"/>
      <c r="I7" s="829"/>
      <c r="J7" s="829"/>
      <c r="K7" s="829"/>
      <c r="L7" s="829"/>
      <c r="M7" s="829"/>
      <c r="N7" s="829"/>
      <c r="O7" s="829"/>
      <c r="P7" s="829"/>
      <c r="Q7" s="829"/>
      <c r="R7" s="829"/>
      <c r="S7" s="829"/>
    </row>
    <row r="8" spans="1:19" ht="42.75" customHeight="1">
      <c r="A8" s="352">
        <v>5</v>
      </c>
      <c r="B8" s="353" t="s">
        <v>139</v>
      </c>
      <c r="C8" s="352">
        <v>12</v>
      </c>
      <c r="D8" s="354" t="s">
        <v>141</v>
      </c>
      <c r="E8" s="829"/>
      <c r="F8" s="829"/>
      <c r="G8" s="829"/>
      <c r="H8" s="829"/>
      <c r="I8" s="829"/>
      <c r="J8" s="829"/>
      <c r="K8" s="829"/>
      <c r="L8" s="829"/>
      <c r="M8" s="829"/>
      <c r="N8" s="829"/>
      <c r="O8" s="829"/>
      <c r="P8" s="829"/>
      <c r="Q8" s="829"/>
      <c r="R8" s="829"/>
      <c r="S8" s="829"/>
    </row>
    <row r="9" spans="1:19" ht="15.75" customHeight="1">
      <c r="A9" s="832"/>
      <c r="B9" s="832"/>
      <c r="C9" s="832"/>
      <c r="D9" s="832"/>
      <c r="E9" s="829"/>
      <c r="F9" s="829"/>
      <c r="G9" s="829"/>
      <c r="H9" s="829"/>
      <c r="I9" s="829"/>
      <c r="J9" s="829"/>
      <c r="K9" s="829"/>
      <c r="L9" s="829"/>
      <c r="M9" s="829"/>
      <c r="N9" s="829"/>
      <c r="O9" s="829"/>
      <c r="P9" s="829"/>
      <c r="Q9" s="829"/>
      <c r="R9" s="829"/>
      <c r="S9" s="829"/>
    </row>
    <row r="10" spans="1:19" ht="42" customHeight="1">
      <c r="A10" s="352">
        <v>13</v>
      </c>
      <c r="B10" s="353" t="s">
        <v>140</v>
      </c>
      <c r="C10" s="352">
        <v>4</v>
      </c>
      <c r="D10" s="354" t="s">
        <v>143</v>
      </c>
      <c r="E10" s="829"/>
      <c r="F10" s="829"/>
      <c r="G10" s="829"/>
      <c r="H10" s="829"/>
      <c r="I10" s="829"/>
      <c r="J10" s="829"/>
      <c r="K10" s="829"/>
      <c r="L10" s="829"/>
      <c r="M10" s="829"/>
      <c r="N10" s="829"/>
      <c r="O10" s="829"/>
      <c r="P10" s="829"/>
      <c r="Q10" s="829"/>
      <c r="R10" s="829"/>
      <c r="S10" s="829"/>
    </row>
    <row r="11" spans="1:19" ht="15.75" customHeight="1">
      <c r="A11" s="832"/>
      <c r="B11" s="832"/>
      <c r="C11" s="832"/>
      <c r="D11" s="832"/>
      <c r="E11" s="829"/>
      <c r="F11" s="829"/>
      <c r="G11" s="829"/>
      <c r="H11" s="829"/>
      <c r="I11" s="829"/>
      <c r="J11" s="829"/>
      <c r="K11" s="829"/>
      <c r="L11" s="829"/>
      <c r="M11" s="829"/>
      <c r="N11" s="829"/>
      <c r="O11" s="829"/>
      <c r="P11" s="829"/>
      <c r="Q11" s="829"/>
      <c r="R11" s="829"/>
      <c r="S11" s="829"/>
    </row>
    <row r="12" spans="1:19" ht="42.75" customHeight="1">
      <c r="A12" s="352">
        <v>11</v>
      </c>
      <c r="B12" s="355" t="s">
        <v>145</v>
      </c>
      <c r="C12" s="352">
        <v>6</v>
      </c>
      <c r="D12" s="356" t="s">
        <v>147</v>
      </c>
      <c r="E12" s="829"/>
      <c r="F12" s="829"/>
      <c r="G12" s="829"/>
      <c r="H12" s="829"/>
      <c r="I12" s="829"/>
      <c r="J12" s="829"/>
      <c r="K12" s="829"/>
      <c r="L12" s="829"/>
      <c r="M12" s="829"/>
      <c r="N12" s="829"/>
      <c r="O12" s="829"/>
      <c r="P12" s="829"/>
      <c r="Q12" s="829"/>
      <c r="R12" s="829"/>
      <c r="S12" s="829"/>
    </row>
    <row r="13" spans="1:19" ht="15.75" customHeight="1">
      <c r="A13" s="832"/>
      <c r="B13" s="832"/>
      <c r="C13" s="832"/>
      <c r="D13" s="832"/>
      <c r="E13" s="829"/>
      <c r="F13" s="829"/>
      <c r="G13" s="829"/>
      <c r="H13" s="829"/>
      <c r="I13" s="829"/>
      <c r="J13" s="829"/>
      <c r="K13" s="829"/>
      <c r="L13" s="829"/>
      <c r="M13" s="829"/>
      <c r="N13" s="829"/>
      <c r="O13" s="829"/>
      <c r="P13" s="829"/>
      <c r="Q13" s="829"/>
      <c r="R13" s="829"/>
      <c r="S13" s="829"/>
    </row>
    <row r="14" spans="1:19" ht="37.5" customHeight="1">
      <c r="A14" s="352">
        <v>9</v>
      </c>
      <c r="B14" s="355" t="s">
        <v>146</v>
      </c>
      <c r="C14" s="352">
        <v>2</v>
      </c>
      <c r="D14" s="356" t="s">
        <v>148</v>
      </c>
      <c r="E14" s="829"/>
      <c r="F14" s="829"/>
      <c r="G14" s="829"/>
      <c r="H14" s="829"/>
      <c r="I14" s="829"/>
      <c r="J14" s="829"/>
      <c r="K14" s="829"/>
      <c r="L14" s="829"/>
      <c r="M14" s="829"/>
      <c r="N14" s="829"/>
      <c r="O14" s="829"/>
      <c r="P14" s="829"/>
      <c r="Q14" s="829"/>
      <c r="R14" s="829"/>
      <c r="S14" s="829"/>
    </row>
    <row r="15" spans="1:19" ht="15.75" customHeight="1">
      <c r="A15" s="832"/>
      <c r="B15" s="832"/>
      <c r="C15" s="832"/>
      <c r="D15" s="832"/>
      <c r="E15" s="829"/>
      <c r="F15" s="829"/>
      <c r="G15" s="829"/>
      <c r="H15" s="829"/>
      <c r="I15" s="829"/>
      <c r="J15" s="829"/>
      <c r="K15" s="829"/>
      <c r="L15" s="829"/>
      <c r="M15" s="829"/>
      <c r="N15" s="829"/>
      <c r="O15" s="829"/>
      <c r="P15" s="829"/>
      <c r="Q15" s="829"/>
      <c r="R15" s="829"/>
      <c r="S15" s="829"/>
    </row>
    <row r="16" spans="1:19" ht="40.5" customHeight="1">
      <c r="A16" s="361">
        <v>8</v>
      </c>
      <c r="B16" s="355" t="s">
        <v>144</v>
      </c>
      <c r="C16" s="361">
        <v>10</v>
      </c>
      <c r="D16" s="356" t="s">
        <v>149</v>
      </c>
      <c r="E16" s="835" t="str">
        <f>IF(OR(H4="",K4="",N4="",Q4=""),"",IF(OR(H5+K5+N5+Q5&lt;2,H5+K5+N5+Q5&gt;13),"Il semblerait qu'il y ait une erreur, avez vous bien regardé toutes les cartes ? Vérifiez vos réponses.","Le signe que vous avez choisi est: "&amp;IF(H5+K5+N5+Q5=A6,B6,IF(H5+K5+N5+Q5=A8,B8,IF(H5+K5+N5+Q5=A10,B10,IF(H5+K5+N5+Q5=A12,B12,IF(H5+K5+N5+Q5=A14,B14,IF(H5+K5+N5+Q5=A16,B16,IF(H5+K5+N5+Q5=C6,D6,IF(H5+K5+N5+Q5=C8,D8,IF(H5+K5+N5+Q5=C10,D10,IF(H5+K5+N5+Q5=C12,D12,IF(H5+K5+N5+Q5=C14,D14,IF(H5+K5+N5+Q5=C16,D16,""))))))))))))))</f>
        <v/>
      </c>
      <c r="F16" s="835"/>
      <c r="G16" s="835"/>
      <c r="H16" s="835"/>
      <c r="I16" s="835"/>
      <c r="J16" s="835"/>
      <c r="K16" s="835"/>
      <c r="L16" s="835"/>
      <c r="M16" s="835"/>
      <c r="N16" s="835"/>
      <c r="O16" s="835"/>
      <c r="P16" s="835"/>
      <c r="Q16" s="835"/>
      <c r="R16" s="835"/>
      <c r="S16" s="835"/>
    </row>
    <row r="17" spans="1:19" ht="15" customHeight="1">
      <c r="A17" s="834" t="str">
        <f>IF(AND(E16&lt;&gt;"",E16&lt;&gt;"Il semblerait qu'il y ait une erreur, avez vous bien regardé toutes les cartes ? Vérifiez vos réponses."),HYPERLINK("http://www.le-saviez-vous.fr/2011/07/ophiuchus-le-serpentaire-le-13eme-signe.html","Le Saviez-vous ?"),"")</f>
        <v/>
      </c>
      <c r="B17" s="834"/>
      <c r="C17" s="834"/>
      <c r="D17" s="834"/>
      <c r="E17" s="835"/>
      <c r="F17" s="835"/>
      <c r="G17" s="835"/>
      <c r="H17" s="835"/>
      <c r="I17" s="835"/>
      <c r="J17" s="835"/>
      <c r="K17" s="835"/>
      <c r="L17" s="835"/>
      <c r="M17" s="835"/>
      <c r="N17" s="835"/>
      <c r="O17" s="835"/>
      <c r="P17" s="835"/>
      <c r="Q17" s="835"/>
      <c r="R17" s="835"/>
      <c r="S17" s="835"/>
    </row>
    <row r="18" spans="1:19">
      <c r="A18" s="561" t="str">
        <f>IF(E16="Il semblerait qu'il y ait une erreur, avez vous bien regardé toutes les cartes ? Vérifiez vos réponses.","",IF(OR('Theme Astral'!C1="oui",E16="Le signe que vous avez choisi est: "&amp;B12),"BONUS -- Votre thème astral disponible ici gratuitement -- BONUS -- Votre thème astral disponible ici gratuitement -- BONUS -- Votre thème astral disponible ici gratuitement -- BONUS -- Votre thème astral disponible ici gratuitement -- BONUS",""))</f>
        <v/>
      </c>
      <c r="B18" s="561"/>
      <c r="C18" s="561"/>
      <c r="D18" s="561"/>
      <c r="E18" s="561"/>
      <c r="F18" s="561"/>
      <c r="G18" s="561"/>
      <c r="H18" s="561"/>
      <c r="I18" s="561"/>
      <c r="J18" s="561"/>
      <c r="K18" s="561"/>
      <c r="L18" s="561"/>
      <c r="M18" s="561"/>
      <c r="N18" s="561"/>
      <c r="O18" s="561"/>
      <c r="P18" s="561"/>
      <c r="Q18" s="561"/>
      <c r="R18" s="561"/>
      <c r="S18" s="561"/>
    </row>
    <row r="19" spans="1:19" ht="15" hidden="1" customHeight="1"/>
    <row r="20" spans="1:19" ht="15" hidden="1" customHeight="1"/>
    <row r="21" spans="1:19" ht="15" hidden="1" customHeight="1"/>
    <row r="22" spans="1:19" ht="15" hidden="1" customHeight="1"/>
    <row r="23" spans="1:19" ht="15" hidden="1" customHeight="1"/>
    <row r="24" spans="1:19" ht="15" hidden="1" customHeight="1"/>
    <row r="25" spans="1:19" ht="15" hidden="1" customHeight="1"/>
    <row r="26" spans="1:19" ht="15" hidden="1" customHeight="1"/>
    <row r="27" spans="1:19" ht="15" hidden="1" customHeight="1"/>
    <row r="28" spans="1:19" ht="15" hidden="1" customHeight="1"/>
    <row r="29" spans="1:19" ht="15" hidden="1" customHeight="1"/>
    <row r="30" spans="1:19" ht="15" hidden="1" customHeight="1"/>
    <row r="31" spans="1:19" ht="15" hidden="1" customHeight="1"/>
    <row r="32" spans="1:19"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sheetData>
  <sheetProtection password="8B0A" sheet="1" objects="1" scenarios="1"/>
  <mergeCells count="21">
    <mergeCell ref="A17:D17"/>
    <mergeCell ref="E16:S17"/>
    <mergeCell ref="A2:S2"/>
    <mergeCell ref="H3:S3"/>
    <mergeCell ref="A18:S18"/>
    <mergeCell ref="A1:S1"/>
    <mergeCell ref="E6:S15"/>
    <mergeCell ref="I4:J4"/>
    <mergeCell ref="L4:M4"/>
    <mergeCell ref="O4:P4"/>
    <mergeCell ref="R4:S4"/>
    <mergeCell ref="H5:J5"/>
    <mergeCell ref="K5:M5"/>
    <mergeCell ref="N5:P5"/>
    <mergeCell ref="Q5:S5"/>
    <mergeCell ref="A7:D7"/>
    <mergeCell ref="A13:D13"/>
    <mergeCell ref="A11:D11"/>
    <mergeCell ref="A9:D9"/>
    <mergeCell ref="A15:D15"/>
    <mergeCell ref="A3:G5"/>
  </mergeCells>
  <conditionalFormatting sqref="A6:B6">
    <cfRule type="expression" dxfId="240" priority="29">
      <formula>AND($H$5+$K$5+$N$5+$Q$5=$A$6,$E$16&lt;&gt;"")</formula>
    </cfRule>
  </conditionalFormatting>
  <conditionalFormatting sqref="A8:B8">
    <cfRule type="expression" dxfId="239" priority="28">
      <formula>AND($H$5+$K$5+$N$5+$Q$5=$A$8,$E$16&lt;&gt;"")</formula>
    </cfRule>
  </conditionalFormatting>
  <conditionalFormatting sqref="A10:B10">
    <cfRule type="expression" dxfId="238" priority="27">
      <formula>AND($H$5+$K$5+$N$5+$Q$5=$A$10,$E$16&lt;&gt;"")</formula>
    </cfRule>
  </conditionalFormatting>
  <conditionalFormatting sqref="A12:B12">
    <cfRule type="expression" dxfId="237" priority="26">
      <formula>AND($H$5+$K$5+$N$5+$Q$5=$A$12,$E$16&lt;&gt;"")</formula>
    </cfRule>
  </conditionalFormatting>
  <conditionalFormatting sqref="A14:B14">
    <cfRule type="expression" dxfId="236" priority="25">
      <formula>AND($H$5+$K$5+$N$5+$Q$5=$A$14,$E$16&lt;&gt;"")</formula>
    </cfRule>
  </conditionalFormatting>
  <conditionalFormatting sqref="A16:B16">
    <cfRule type="expression" dxfId="235" priority="24">
      <formula>AND($H$5+$K$5+$N$5+$Q$5=$A$16,$E$16&lt;&gt;"")</formula>
    </cfRule>
  </conditionalFormatting>
  <conditionalFormatting sqref="C6:D6">
    <cfRule type="expression" dxfId="234" priority="23">
      <formula>AND($H$5+$K$5+$N$5+$Q$5=$C$6,$E$16&lt;&gt;"")</formula>
    </cfRule>
  </conditionalFormatting>
  <conditionalFormatting sqref="C8:D8">
    <cfRule type="expression" dxfId="233" priority="22">
      <formula>AND($H$5+$K$5+$N$5+$Q$5=$C$8,$E$16&lt;&gt;"")</formula>
    </cfRule>
  </conditionalFormatting>
  <conditionalFormatting sqref="C10:D10">
    <cfRule type="expression" dxfId="232" priority="21">
      <formula>AND($H$5+$K$5+$N$5+$Q$5=$C$10,$E$16&lt;&gt;"")</formula>
    </cfRule>
  </conditionalFormatting>
  <conditionalFormatting sqref="C12:D12">
    <cfRule type="expression" dxfId="231" priority="20">
      <formula>AND($H$5+$K$5+$N$5+$Q$5=$C$12,$E$16&lt;&gt;"")</formula>
    </cfRule>
  </conditionalFormatting>
  <conditionalFormatting sqref="C14:D14">
    <cfRule type="expression" dxfId="230" priority="19">
      <formula>AND($H$5+$K$5+$N$5+$Q$5=$C$14,$E$16&lt;&gt;"")</formula>
    </cfRule>
  </conditionalFormatting>
  <conditionalFormatting sqref="C16:D16">
    <cfRule type="expression" dxfId="229" priority="18">
      <formula>AND($H$5+$K$5+$N$5+$Q$5=$C$16,$E$16&lt;&gt;"")</formula>
    </cfRule>
  </conditionalFormatting>
  <conditionalFormatting sqref="K4 H4 N4 Q4">
    <cfRule type="expression" dxfId="228" priority="11">
      <formula>$E$16="Il semblerait qu'il y ait une erreur, avez vous bien regardé toutes les cartes ? Vérifiez vos réponses."</formula>
    </cfRule>
  </conditionalFormatting>
  <conditionalFormatting sqref="A18">
    <cfRule type="expression" dxfId="227" priority="6">
      <formula>$A$18&lt;&gt;""</formula>
    </cfRule>
  </conditionalFormatting>
  <conditionalFormatting sqref="E16">
    <cfRule type="expression" dxfId="226" priority="5">
      <formula>$E$16="Il semblerait qu'il y ait une erreur, avez vous bien regardé toutes les cartes ? Vérifiez vos réponses."</formula>
    </cfRule>
  </conditionalFormatting>
  <conditionalFormatting sqref="A3:G5">
    <cfRule type="expression" dxfId="225" priority="4">
      <formula>$A$3="Cliquez sur la boule de cristal pour recommencer."</formula>
    </cfRule>
  </conditionalFormatting>
  <conditionalFormatting sqref="A17:D17">
    <cfRule type="expression" dxfId="224" priority="3">
      <formula>$A$17&lt;&gt;""</formula>
    </cfRule>
  </conditionalFormatting>
  <conditionalFormatting sqref="A1:S1">
    <cfRule type="expression" dxfId="223" priority="1">
      <formula>$A$1="Les 13 Signes Astrologiques du Zodiac ?"</formula>
    </cfRule>
  </conditionalFormatting>
  <dataValidations count="1">
    <dataValidation type="list" allowBlank="1" showInputMessage="1" showErrorMessage="1" sqref="H4 K4 N4 Q4">
      <formula1>"Oui,Non"</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sheetPr codeName="Feuil19"/>
  <dimension ref="A1:D4"/>
  <sheetViews>
    <sheetView showGridLines="0" showRowColHeaders="0" workbookViewId="0">
      <selection activeCell="C1" sqref="C1"/>
    </sheetView>
  </sheetViews>
  <sheetFormatPr baseColWidth="10" defaultColWidth="0" defaultRowHeight="15" zeroHeight="1"/>
  <cols>
    <col min="1" max="1" width="82.42578125" customWidth="1"/>
    <col min="2" max="2" width="35.28515625" bestFit="1" customWidth="1"/>
    <col min="3" max="3" width="8.42578125" customWidth="1"/>
    <col min="4" max="4" width="12.7109375" customWidth="1"/>
    <col min="5" max="16384" width="186.5703125" hidden="1"/>
  </cols>
  <sheetData>
    <row r="1" spans="1:4" ht="18" customHeight="1">
      <c r="A1" s="250" t="s">
        <v>294</v>
      </c>
      <c r="B1" s="251" t="s">
        <v>293</v>
      </c>
      <c r="C1" s="475"/>
      <c r="D1" s="386" t="s">
        <v>236</v>
      </c>
    </row>
    <row r="2" spans="1:4" ht="330" customHeight="1">
      <c r="A2" s="838"/>
      <c r="B2" s="838"/>
      <c r="C2" s="838"/>
      <c r="D2" s="838"/>
    </row>
    <row r="3" spans="1:4" ht="237" customHeight="1">
      <c r="A3" s="838"/>
      <c r="B3" s="838"/>
      <c r="C3" s="838"/>
      <c r="D3" s="838"/>
    </row>
    <row r="4" spans="1:4" hidden="1"/>
  </sheetData>
  <sheetProtection password="8B0A" sheet="1" objects="1" scenarios="1"/>
  <mergeCells count="1">
    <mergeCell ref="A2:D3"/>
  </mergeCells>
  <dataValidations count="1">
    <dataValidation type="list" allowBlank="1" showInputMessage="1" showErrorMessage="1" sqref="C1">
      <formula1>"oui,non"</formula1>
    </dataValidation>
  </dataValidations>
  <pageMargins left="0.7" right="0.7" top="0.75" bottom="0.75" header="0.3" footer="0.3"/>
  <pageSetup paperSize="9" orientation="portrait" verticalDpi="0" r:id="rId1"/>
  <drawing r:id="rId2"/>
</worksheet>
</file>

<file path=xl/worksheets/sheet26.xml><?xml version="1.0" encoding="utf-8"?>
<worksheet xmlns="http://schemas.openxmlformats.org/spreadsheetml/2006/main" xmlns:r="http://schemas.openxmlformats.org/officeDocument/2006/relationships">
  <sheetPr codeName="Feuil29"/>
  <dimension ref="A1:S57"/>
  <sheetViews>
    <sheetView showGridLines="0" showRowColHeaders="0" workbookViewId="0">
      <selection sqref="A1:S1"/>
    </sheetView>
  </sheetViews>
  <sheetFormatPr baseColWidth="10" defaultColWidth="0" defaultRowHeight="0" customHeight="1" zeroHeight="1"/>
  <cols>
    <col min="1" max="1" width="8.7109375" style="454" customWidth="1"/>
    <col min="2" max="2" width="16.7109375" style="454" customWidth="1"/>
    <col min="3" max="3" width="8.7109375" style="454" customWidth="1"/>
    <col min="4" max="4" width="16.7109375" style="454" customWidth="1"/>
    <col min="5" max="7" width="11.42578125" style="454" customWidth="1"/>
    <col min="8" max="8" width="11.7109375" style="454" customWidth="1"/>
    <col min="9" max="10" width="11.42578125" style="454" customWidth="1"/>
    <col min="11" max="11" width="11.7109375" style="454" customWidth="1"/>
    <col min="12" max="13" width="11.42578125" style="454" customWidth="1"/>
    <col min="14" max="14" width="11.7109375" style="454" customWidth="1"/>
    <col min="15" max="16" width="11.42578125" style="454" customWidth="1"/>
    <col min="17" max="17" width="11.7109375" style="454" customWidth="1"/>
    <col min="18" max="19" width="11.42578125" style="454" customWidth="1"/>
    <col min="20" max="16384" width="11.42578125" style="429" hidden="1"/>
  </cols>
  <sheetData>
    <row r="1" spans="1:19" ht="44.25" customHeight="1">
      <c r="A1" s="844" t="s">
        <v>329</v>
      </c>
      <c r="B1" s="844"/>
      <c r="C1" s="844"/>
      <c r="D1" s="844"/>
      <c r="E1" s="844"/>
      <c r="F1" s="844"/>
      <c r="G1" s="844"/>
      <c r="H1" s="844"/>
      <c r="I1" s="844"/>
      <c r="J1" s="844"/>
      <c r="K1" s="844"/>
      <c r="L1" s="844"/>
      <c r="M1" s="844"/>
      <c r="N1" s="844"/>
      <c r="O1" s="844"/>
      <c r="P1" s="844"/>
      <c r="Q1" s="844"/>
      <c r="R1" s="844"/>
      <c r="S1" s="844"/>
    </row>
    <row r="2" spans="1:19" ht="15" customHeight="1">
      <c r="A2" s="836" t="str">
        <f>IF(OR('Signe Chinois'!C1="oui",A18&lt;&gt;""),"Bonus débloqué, Félicitations !!",IF(PARA!E8&lt;&gt;"","Votre signe est '"&amp;PARA!F8&amp;"', mais saurez-vous trouvez le mien pour débloquer le bonus ?","Pour débloquer le bonus, découvrez de quel signe je-suis !"))</f>
        <v>Pour débloquer le bonus, découvrez de quel signe je-suis !</v>
      </c>
      <c r="B2" s="836"/>
      <c r="C2" s="836"/>
      <c r="D2" s="836"/>
      <c r="E2" s="836"/>
      <c r="F2" s="836"/>
      <c r="G2" s="836"/>
      <c r="H2" s="836"/>
      <c r="I2" s="836"/>
      <c r="J2" s="836"/>
      <c r="K2" s="836"/>
      <c r="L2" s="836"/>
      <c r="M2" s="836"/>
      <c r="N2" s="836"/>
      <c r="O2" s="836"/>
      <c r="P2" s="836"/>
      <c r="Q2" s="836"/>
      <c r="R2" s="836"/>
      <c r="S2" s="836"/>
    </row>
    <row r="3" spans="1:19" ht="15" customHeight="1">
      <c r="A3" s="845" t="str">
        <f>IF(E16="","Choississez un des 12 signes de l'astrologie chinoise ci-dessous.                                                                Apparait-il dans les cartes ci-contre ?"&amp;"                                                                                                                     Une fois votre saisie terminée le résultat apparait en dessous des cartes.","Cliquez sur le symbole des 5 élèments pour recommencer.")</f>
        <v>Choississez un des 12 signes de l'astrologie chinoise ci-dessous.                                                                Apparait-il dans les cartes ci-contre ?                                                                                                                     Une fois votre saisie terminée le résultat apparait en dessous des cartes.</v>
      </c>
      <c r="B3" s="845"/>
      <c r="C3" s="845"/>
      <c r="D3" s="845"/>
      <c r="E3" s="845"/>
      <c r="F3" s="845"/>
      <c r="G3" s="845"/>
      <c r="H3" s="846"/>
      <c r="I3" s="846"/>
      <c r="J3" s="846"/>
      <c r="K3" s="846"/>
      <c r="L3" s="846"/>
      <c r="M3" s="846"/>
      <c r="N3" s="846"/>
      <c r="O3" s="846"/>
      <c r="P3" s="846"/>
      <c r="Q3" s="846"/>
      <c r="R3" s="846"/>
      <c r="S3" s="846"/>
    </row>
    <row r="4" spans="1:19" ht="15.75">
      <c r="A4" s="845"/>
      <c r="B4" s="845"/>
      <c r="C4" s="845"/>
      <c r="D4" s="845"/>
      <c r="E4" s="845"/>
      <c r="F4" s="845"/>
      <c r="G4" s="845"/>
      <c r="H4" s="368"/>
      <c r="I4" s="847"/>
      <c r="J4" s="847"/>
      <c r="K4" s="368"/>
      <c r="L4" s="847"/>
      <c r="M4" s="847"/>
      <c r="N4" s="368"/>
      <c r="O4" s="847"/>
      <c r="P4" s="847"/>
      <c r="Q4" s="368"/>
      <c r="R4" s="847"/>
      <c r="S4" s="847"/>
    </row>
    <row r="5" spans="1:19" ht="29.25" customHeight="1">
      <c r="A5" s="845"/>
      <c r="B5" s="845"/>
      <c r="C5" s="845"/>
      <c r="D5" s="845"/>
      <c r="E5" s="845"/>
      <c r="F5" s="845"/>
      <c r="G5" s="845"/>
      <c r="H5" s="848">
        <f>IF(H4="oui",8,0)</f>
        <v>0</v>
      </c>
      <c r="I5" s="848"/>
      <c r="J5" s="848"/>
      <c r="K5" s="848">
        <f>IF(K4="oui",4,0)</f>
        <v>0</v>
      </c>
      <c r="L5" s="848"/>
      <c r="M5" s="848"/>
      <c r="N5" s="848">
        <f>IF(N4="oui",2,0)</f>
        <v>0</v>
      </c>
      <c r="O5" s="848"/>
      <c r="P5" s="848"/>
      <c r="Q5" s="848">
        <f>IF(Q4="oui",1,0)</f>
        <v>0</v>
      </c>
      <c r="R5" s="848"/>
      <c r="S5" s="848"/>
    </row>
    <row r="6" spans="1:19" ht="45" customHeight="1">
      <c r="A6" s="366">
        <v>3</v>
      </c>
      <c r="B6" s="367" t="s">
        <v>316</v>
      </c>
      <c r="C6" s="366">
        <v>7</v>
      </c>
      <c r="D6" s="367" t="s">
        <v>317</v>
      </c>
      <c r="E6" s="842"/>
      <c r="F6" s="842"/>
      <c r="G6" s="842"/>
      <c r="H6" s="842"/>
      <c r="I6" s="842"/>
      <c r="J6" s="842"/>
      <c r="K6" s="842"/>
      <c r="L6" s="842"/>
      <c r="M6" s="842"/>
      <c r="N6" s="842"/>
      <c r="O6" s="842"/>
      <c r="P6" s="842"/>
      <c r="Q6" s="842"/>
      <c r="R6" s="842"/>
      <c r="S6" s="842"/>
    </row>
    <row r="7" spans="1:19" ht="15.75" customHeight="1">
      <c r="A7" s="843"/>
      <c r="B7" s="843"/>
      <c r="C7" s="843"/>
      <c r="D7" s="843"/>
      <c r="E7" s="842"/>
      <c r="F7" s="842"/>
      <c r="G7" s="842"/>
      <c r="H7" s="842"/>
      <c r="I7" s="842"/>
      <c r="J7" s="842"/>
      <c r="K7" s="842"/>
      <c r="L7" s="842"/>
      <c r="M7" s="842"/>
      <c r="N7" s="842"/>
      <c r="O7" s="842"/>
      <c r="P7" s="842"/>
      <c r="Q7" s="842"/>
      <c r="R7" s="842"/>
      <c r="S7" s="842"/>
    </row>
    <row r="8" spans="1:19" ht="42.75" customHeight="1">
      <c r="A8" s="366">
        <v>5</v>
      </c>
      <c r="B8" s="367" t="s">
        <v>312</v>
      </c>
      <c r="C8" s="366">
        <v>12</v>
      </c>
      <c r="D8" s="367" t="s">
        <v>313</v>
      </c>
      <c r="E8" s="842"/>
      <c r="F8" s="842"/>
      <c r="G8" s="842"/>
      <c r="H8" s="842"/>
      <c r="I8" s="842"/>
      <c r="J8" s="842"/>
      <c r="K8" s="842"/>
      <c r="L8" s="842"/>
      <c r="M8" s="842"/>
      <c r="N8" s="842"/>
      <c r="O8" s="842"/>
      <c r="P8" s="842"/>
      <c r="Q8" s="842"/>
      <c r="R8" s="842"/>
      <c r="S8" s="842"/>
    </row>
    <row r="9" spans="1:19" ht="15.75" customHeight="1">
      <c r="A9" s="843"/>
      <c r="B9" s="843"/>
      <c r="C9" s="843"/>
      <c r="D9" s="843"/>
      <c r="E9" s="842"/>
      <c r="F9" s="842"/>
      <c r="G9" s="842"/>
      <c r="H9" s="842"/>
      <c r="I9" s="842"/>
      <c r="J9" s="842"/>
      <c r="K9" s="842"/>
      <c r="L9" s="842"/>
      <c r="M9" s="842"/>
      <c r="N9" s="842"/>
      <c r="O9" s="842"/>
      <c r="P9" s="842"/>
      <c r="Q9" s="842"/>
      <c r="R9" s="842"/>
      <c r="S9" s="842"/>
    </row>
    <row r="10" spans="1:19" ht="42" customHeight="1">
      <c r="A10" s="366">
        <v>13</v>
      </c>
      <c r="B10" s="367" t="s">
        <v>314</v>
      </c>
      <c r="C10" s="366">
        <v>4</v>
      </c>
      <c r="D10" s="367" t="s">
        <v>315</v>
      </c>
      <c r="E10" s="842"/>
      <c r="F10" s="842"/>
      <c r="G10" s="842"/>
      <c r="H10" s="842"/>
      <c r="I10" s="842"/>
      <c r="J10" s="842"/>
      <c r="K10" s="842"/>
      <c r="L10" s="842"/>
      <c r="M10" s="842"/>
      <c r="N10" s="842"/>
      <c r="O10" s="842"/>
      <c r="P10" s="842"/>
      <c r="Q10" s="842"/>
      <c r="R10" s="842"/>
      <c r="S10" s="842"/>
    </row>
    <row r="11" spans="1:19" ht="15.75" customHeight="1">
      <c r="A11" s="843"/>
      <c r="B11" s="843"/>
      <c r="C11" s="843"/>
      <c r="D11" s="843"/>
      <c r="E11" s="842"/>
      <c r="F11" s="842"/>
      <c r="G11" s="842"/>
      <c r="H11" s="842"/>
      <c r="I11" s="842"/>
      <c r="J11" s="842"/>
      <c r="K11" s="842"/>
      <c r="L11" s="842"/>
      <c r="M11" s="842"/>
      <c r="N11" s="842"/>
      <c r="O11" s="842"/>
      <c r="P11" s="842"/>
      <c r="Q11" s="842"/>
      <c r="R11" s="842"/>
      <c r="S11" s="842"/>
    </row>
    <row r="12" spans="1:19" ht="42.75" customHeight="1">
      <c r="A12" s="366">
        <v>11</v>
      </c>
      <c r="B12" s="367" t="s">
        <v>318</v>
      </c>
      <c r="C12" s="366">
        <v>6</v>
      </c>
      <c r="D12" s="367" t="s">
        <v>321</v>
      </c>
      <c r="E12" s="842"/>
      <c r="F12" s="842"/>
      <c r="G12" s="842"/>
      <c r="H12" s="842"/>
      <c r="I12" s="842"/>
      <c r="J12" s="842"/>
      <c r="K12" s="842"/>
      <c r="L12" s="842"/>
      <c r="M12" s="842"/>
      <c r="N12" s="842"/>
      <c r="O12" s="842"/>
      <c r="P12" s="842"/>
      <c r="Q12" s="842"/>
      <c r="R12" s="842"/>
      <c r="S12" s="842"/>
    </row>
    <row r="13" spans="1:19" ht="15.75" customHeight="1">
      <c r="A13" s="843"/>
      <c r="B13" s="843"/>
      <c r="C13" s="843"/>
      <c r="D13" s="843"/>
      <c r="E13" s="842"/>
      <c r="F13" s="842"/>
      <c r="G13" s="842"/>
      <c r="H13" s="842"/>
      <c r="I13" s="842"/>
      <c r="J13" s="842"/>
      <c r="K13" s="842"/>
      <c r="L13" s="842"/>
      <c r="M13" s="842"/>
      <c r="N13" s="842"/>
      <c r="O13" s="842"/>
      <c r="P13" s="842"/>
      <c r="Q13" s="842"/>
      <c r="R13" s="842"/>
      <c r="S13" s="842"/>
    </row>
    <row r="14" spans="1:19" ht="37.5" customHeight="1">
      <c r="A14" s="366">
        <v>9</v>
      </c>
      <c r="B14" s="367" t="s">
        <v>320</v>
      </c>
      <c r="C14" s="366">
        <v>2</v>
      </c>
      <c r="D14" s="367" t="s">
        <v>323</v>
      </c>
      <c r="E14" s="842"/>
      <c r="F14" s="842"/>
      <c r="G14" s="842"/>
      <c r="H14" s="842"/>
      <c r="I14" s="842"/>
      <c r="J14" s="842"/>
      <c r="K14" s="842"/>
      <c r="L14" s="842"/>
      <c r="M14" s="842"/>
      <c r="N14" s="842"/>
      <c r="O14" s="842"/>
      <c r="P14" s="842"/>
      <c r="Q14" s="842"/>
      <c r="R14" s="842"/>
      <c r="S14" s="842"/>
    </row>
    <row r="15" spans="1:19" ht="15.75" customHeight="1">
      <c r="A15" s="843"/>
      <c r="B15" s="843"/>
      <c r="C15" s="843"/>
      <c r="D15" s="843"/>
      <c r="E15" s="842"/>
      <c r="F15" s="842"/>
      <c r="G15" s="842"/>
      <c r="H15" s="842"/>
      <c r="I15" s="842"/>
      <c r="J15" s="842"/>
      <c r="K15" s="842"/>
      <c r="L15" s="842"/>
      <c r="M15" s="842"/>
      <c r="N15" s="842"/>
      <c r="O15" s="842"/>
      <c r="P15" s="842"/>
      <c r="Q15" s="842"/>
      <c r="R15" s="842"/>
      <c r="S15" s="842"/>
    </row>
    <row r="16" spans="1:19" ht="40.5" customHeight="1">
      <c r="A16" s="366">
        <v>8</v>
      </c>
      <c r="B16" s="367" t="s">
        <v>319</v>
      </c>
      <c r="C16" s="366">
        <v>10</v>
      </c>
      <c r="D16" s="367" t="s">
        <v>322</v>
      </c>
      <c r="E16" s="840" t="str">
        <f>IF(OR(H4="",K4="",N4="",Q4=""),"",IF(OR(H5+K5+N5+Q5&lt;2,H5+K5+N5+Q5&gt;13),"                  Il semblerait qu'il y ait une erreur, avez vous bien regardé toutes les cartes ? Vérifiez vos réponses.","Le signe que vous avez choisi est: "&amp;IF(H5+K5+N5+Q5=A6,B6,IF(H5+K5+N5+Q5=A8,B8,IF(H5+K5+N5+Q5=A10,B10,IF(H5+K5+N5+Q5=A12,B12,IF(H5+K5+N5+Q5=A14,B14,IF(H5+K5+N5+Q5=A16,B16,IF(H5+K5+N5+Q5=C6,D6,IF(H5+K5+N5+Q5=C8,D8,IF(H5+K5+N5+Q5=C10,D10,IF(H5+K5+N5+Q5=C12,D12,IF(H5+K5+N5+Q5=C14,D14,IF(H5+K5+N5+Q5=C16,D16,""))))))))))))))</f>
        <v/>
      </c>
      <c r="F16" s="840"/>
      <c r="G16" s="840"/>
      <c r="H16" s="840"/>
      <c r="I16" s="840"/>
      <c r="J16" s="840"/>
      <c r="K16" s="840"/>
      <c r="L16" s="840"/>
      <c r="M16" s="840"/>
      <c r="N16" s="840"/>
      <c r="O16" s="840"/>
      <c r="P16" s="840"/>
      <c r="Q16" s="840"/>
      <c r="R16" s="840"/>
      <c r="S16" s="840"/>
    </row>
    <row r="17" spans="1:19" ht="15" customHeight="1">
      <c r="A17" s="841" t="str">
        <f>IF(E16="","","Cette année nous célébrons le : "&amp;VLOOKUP(YEAR(PARA!H6),PARA!G11:I139,2)&amp;" de "&amp;VLOOKUP(YEAR(PARA!H6),PARA!G11:I139,3))</f>
        <v/>
      </c>
      <c r="B17" s="841"/>
      <c r="C17" s="841"/>
      <c r="D17" s="841"/>
      <c r="E17" s="840"/>
      <c r="F17" s="840"/>
      <c r="G17" s="840"/>
      <c r="H17" s="840"/>
      <c r="I17" s="840"/>
      <c r="J17" s="840"/>
      <c r="K17" s="840"/>
      <c r="L17" s="840"/>
      <c r="M17" s="840"/>
      <c r="N17" s="840"/>
      <c r="O17" s="840"/>
      <c r="P17" s="840"/>
      <c r="Q17" s="840"/>
      <c r="R17" s="840"/>
      <c r="S17" s="840"/>
    </row>
    <row r="18" spans="1:19" ht="15" customHeight="1">
      <c r="A18" s="839" t="str">
        <f>IF(E16="                  Il semblerait qu'il y ait une erreur, avez vous bien regardé toutes les cartes ? Vérifiez vos réponses.","",IF(OR('Signe Chinois'!C1="oui",E16="Le signe que vous avez choisi est: "&amp;B6),"BONUS -- Votre Signe et horoscope chinois disponible -- BONUS -- Votre Signe et horoscope chinois disponible -- BONUS -- Votre Signe et horoscope chinois disponible -- BONUS -- Votre Signe et horoscope chinois disponible -- BONUS ",""))</f>
        <v/>
      </c>
      <c r="B18" s="839"/>
      <c r="C18" s="839"/>
      <c r="D18" s="839"/>
      <c r="E18" s="839"/>
      <c r="F18" s="839"/>
      <c r="G18" s="839"/>
      <c r="H18" s="839"/>
      <c r="I18" s="839"/>
      <c r="J18" s="839"/>
      <c r="K18" s="839"/>
      <c r="L18" s="839"/>
      <c r="M18" s="839"/>
      <c r="N18" s="839"/>
      <c r="O18" s="839"/>
      <c r="P18" s="839"/>
      <c r="Q18" s="839"/>
      <c r="R18" s="839"/>
      <c r="S18" s="839"/>
    </row>
    <row r="19" spans="1:19" ht="15" hidden="1" customHeight="1">
      <c r="A19" s="455"/>
      <c r="B19" s="455"/>
      <c r="C19" s="455"/>
      <c r="D19" s="455"/>
      <c r="E19" s="455"/>
      <c r="F19" s="455"/>
      <c r="G19" s="455"/>
      <c r="H19" s="455"/>
      <c r="I19" s="455"/>
      <c r="J19" s="455"/>
      <c r="K19" s="455"/>
      <c r="L19" s="455"/>
      <c r="M19" s="455"/>
      <c r="N19" s="455"/>
      <c r="O19" s="455"/>
      <c r="P19" s="455"/>
      <c r="Q19" s="455"/>
      <c r="R19" s="455"/>
      <c r="S19" s="455"/>
    </row>
    <row r="20" spans="1:19" ht="15" hidden="1" customHeight="1">
      <c r="A20" s="455"/>
      <c r="B20" s="455"/>
      <c r="C20" s="455"/>
      <c r="D20" s="455"/>
      <c r="E20" s="455"/>
      <c r="F20" s="455"/>
      <c r="G20" s="455"/>
      <c r="H20" s="455"/>
      <c r="I20" s="455"/>
      <c r="J20" s="455"/>
      <c r="K20" s="455"/>
      <c r="L20" s="455"/>
      <c r="M20" s="455"/>
      <c r="N20" s="455"/>
      <c r="O20" s="455"/>
      <c r="P20" s="455"/>
      <c r="Q20" s="455"/>
      <c r="R20" s="455"/>
      <c r="S20" s="455"/>
    </row>
    <row r="21" spans="1:19" ht="15" hidden="1" customHeight="1">
      <c r="A21" s="455"/>
      <c r="B21" s="455"/>
      <c r="C21" s="455"/>
      <c r="D21" s="455"/>
      <c r="E21" s="455"/>
      <c r="F21" s="455"/>
      <c r="G21" s="455"/>
      <c r="H21" s="455"/>
      <c r="I21" s="455"/>
      <c r="J21" s="455"/>
      <c r="K21" s="455"/>
      <c r="L21" s="455"/>
      <c r="M21" s="455"/>
      <c r="N21" s="455"/>
      <c r="O21" s="455"/>
      <c r="P21" s="455"/>
      <c r="Q21" s="455"/>
      <c r="R21" s="455"/>
      <c r="S21" s="455"/>
    </row>
    <row r="22" spans="1:19" ht="15" hidden="1" customHeight="1">
      <c r="A22" s="455"/>
      <c r="B22" s="455"/>
      <c r="C22" s="455"/>
      <c r="D22" s="455"/>
      <c r="E22" s="455"/>
      <c r="F22" s="455"/>
      <c r="G22" s="455"/>
      <c r="H22" s="455"/>
      <c r="I22" s="455"/>
      <c r="J22" s="455"/>
      <c r="K22" s="455"/>
      <c r="L22" s="455"/>
      <c r="M22" s="455"/>
      <c r="N22" s="455"/>
      <c r="O22" s="455"/>
      <c r="P22" s="455"/>
      <c r="Q22" s="455"/>
      <c r="R22" s="455"/>
      <c r="S22" s="455"/>
    </row>
    <row r="23" spans="1:19" ht="15" hidden="1" customHeight="1">
      <c r="A23" s="455"/>
      <c r="B23" s="455"/>
      <c r="C23" s="455"/>
      <c r="D23" s="455"/>
      <c r="E23" s="455"/>
      <c r="F23" s="455"/>
      <c r="G23" s="455"/>
      <c r="H23" s="455"/>
      <c r="I23" s="455"/>
      <c r="J23" s="455"/>
      <c r="K23" s="455"/>
      <c r="L23" s="455"/>
      <c r="M23" s="455"/>
      <c r="N23" s="455"/>
      <c r="O23" s="455"/>
      <c r="P23" s="455"/>
      <c r="Q23" s="455"/>
      <c r="R23" s="455"/>
      <c r="S23" s="455"/>
    </row>
    <row r="24" spans="1:19" ht="15" hidden="1" customHeight="1">
      <c r="A24" s="455"/>
      <c r="B24" s="455"/>
      <c r="C24" s="455"/>
      <c r="D24" s="455"/>
      <c r="E24" s="455"/>
      <c r="F24" s="455"/>
      <c r="G24" s="455"/>
      <c r="H24" s="455"/>
      <c r="I24" s="455"/>
      <c r="J24" s="455"/>
      <c r="K24" s="455"/>
      <c r="L24" s="455"/>
      <c r="M24" s="455"/>
      <c r="N24" s="455"/>
      <c r="O24" s="455"/>
      <c r="P24" s="455"/>
      <c r="Q24" s="455"/>
      <c r="R24" s="455"/>
      <c r="S24" s="455"/>
    </row>
    <row r="25" spans="1:19" ht="15" hidden="1" customHeight="1">
      <c r="A25" s="455"/>
      <c r="B25" s="455"/>
      <c r="C25" s="455"/>
      <c r="D25" s="455"/>
      <c r="E25" s="455"/>
      <c r="F25" s="455"/>
      <c r="G25" s="455"/>
      <c r="H25" s="455"/>
      <c r="I25" s="455"/>
      <c r="J25" s="455"/>
      <c r="K25" s="455"/>
      <c r="L25" s="455"/>
      <c r="M25" s="455"/>
      <c r="N25" s="455"/>
      <c r="O25" s="455"/>
      <c r="P25" s="455"/>
      <c r="Q25" s="455"/>
      <c r="R25" s="455"/>
      <c r="S25" s="455"/>
    </row>
    <row r="26" spans="1:19" ht="15" hidden="1" customHeight="1">
      <c r="A26" s="455"/>
      <c r="B26" s="455"/>
      <c r="C26" s="455"/>
      <c r="D26" s="455"/>
      <c r="E26" s="455"/>
      <c r="F26" s="455"/>
      <c r="G26" s="455"/>
      <c r="H26" s="455"/>
      <c r="I26" s="455"/>
      <c r="J26" s="455"/>
      <c r="K26" s="455"/>
      <c r="L26" s="455"/>
      <c r="M26" s="455"/>
      <c r="N26" s="455"/>
      <c r="O26" s="455"/>
      <c r="P26" s="455"/>
      <c r="Q26" s="455"/>
      <c r="R26" s="455"/>
      <c r="S26" s="455"/>
    </row>
    <row r="27" spans="1:19" ht="15" hidden="1" customHeight="1">
      <c r="A27" s="455"/>
      <c r="B27" s="455"/>
      <c r="C27" s="455"/>
      <c r="D27" s="455"/>
      <c r="E27" s="455"/>
      <c r="F27" s="455"/>
      <c r="G27" s="455"/>
      <c r="H27" s="455"/>
      <c r="I27" s="455"/>
      <c r="J27" s="455"/>
      <c r="K27" s="455"/>
      <c r="L27" s="455"/>
      <c r="M27" s="455"/>
      <c r="N27" s="455"/>
      <c r="O27" s="455"/>
      <c r="P27" s="455"/>
      <c r="Q27" s="455"/>
      <c r="R27" s="455"/>
      <c r="S27" s="455"/>
    </row>
    <row r="28" spans="1:19" ht="15" hidden="1" customHeight="1">
      <c r="A28" s="455"/>
      <c r="B28" s="455"/>
      <c r="C28" s="455"/>
      <c r="D28" s="455"/>
      <c r="E28" s="455"/>
      <c r="F28" s="455"/>
      <c r="G28" s="455"/>
      <c r="H28" s="455"/>
      <c r="I28" s="455"/>
      <c r="J28" s="455"/>
      <c r="K28" s="455"/>
      <c r="L28" s="455"/>
      <c r="M28" s="455"/>
      <c r="N28" s="455"/>
      <c r="O28" s="455"/>
      <c r="P28" s="455"/>
      <c r="Q28" s="455"/>
      <c r="R28" s="455"/>
      <c r="S28" s="455"/>
    </row>
    <row r="29" spans="1:19" ht="15" hidden="1" customHeight="1">
      <c r="A29" s="455"/>
      <c r="B29" s="455"/>
      <c r="C29" s="455"/>
      <c r="D29" s="455"/>
      <c r="E29" s="455"/>
      <c r="F29" s="455"/>
      <c r="G29" s="455"/>
      <c r="H29" s="455"/>
      <c r="I29" s="455"/>
      <c r="J29" s="455"/>
      <c r="K29" s="455"/>
      <c r="L29" s="455"/>
      <c r="M29" s="455"/>
      <c r="N29" s="455"/>
      <c r="O29" s="455"/>
      <c r="P29" s="455"/>
      <c r="Q29" s="455"/>
      <c r="R29" s="455"/>
      <c r="S29" s="455"/>
    </row>
    <row r="30" spans="1:19" ht="15" hidden="1" customHeight="1">
      <c r="A30" s="455"/>
      <c r="B30" s="455"/>
      <c r="C30" s="455"/>
      <c r="D30" s="455"/>
      <c r="E30" s="455"/>
      <c r="F30" s="455"/>
      <c r="G30" s="455"/>
      <c r="H30" s="455"/>
      <c r="I30" s="455"/>
      <c r="J30" s="455"/>
      <c r="K30" s="455"/>
      <c r="L30" s="455"/>
      <c r="M30" s="455"/>
      <c r="N30" s="455"/>
      <c r="O30" s="455"/>
      <c r="P30" s="455"/>
      <c r="Q30" s="455"/>
      <c r="R30" s="455"/>
      <c r="S30" s="455"/>
    </row>
    <row r="31" spans="1:19" ht="15" hidden="1" customHeight="1">
      <c r="A31" s="455"/>
      <c r="B31" s="455"/>
      <c r="C31" s="455"/>
      <c r="D31" s="455"/>
      <c r="E31" s="455"/>
      <c r="F31" s="455"/>
      <c r="G31" s="455"/>
      <c r="H31" s="455"/>
      <c r="I31" s="455"/>
      <c r="J31" s="455"/>
      <c r="K31" s="455"/>
      <c r="L31" s="455"/>
      <c r="M31" s="455"/>
      <c r="N31" s="455"/>
      <c r="O31" s="455"/>
      <c r="P31" s="455"/>
      <c r="Q31" s="455"/>
      <c r="R31" s="455"/>
      <c r="S31" s="455"/>
    </row>
    <row r="32" spans="1:19" ht="15" hidden="1" customHeight="1">
      <c r="A32" s="455"/>
      <c r="B32" s="455"/>
      <c r="C32" s="455"/>
      <c r="D32" s="455"/>
      <c r="E32" s="455"/>
      <c r="F32" s="455"/>
      <c r="G32" s="455"/>
      <c r="H32" s="455"/>
      <c r="I32" s="455"/>
      <c r="J32" s="455"/>
      <c r="K32" s="455"/>
      <c r="L32" s="455"/>
      <c r="M32" s="455"/>
      <c r="N32" s="455"/>
      <c r="O32" s="455"/>
      <c r="P32" s="455"/>
      <c r="Q32" s="455"/>
      <c r="R32" s="455"/>
      <c r="S32" s="455"/>
    </row>
    <row r="33" spans="1:19" ht="15" hidden="1" customHeight="1">
      <c r="A33" s="455"/>
      <c r="B33" s="455"/>
      <c r="C33" s="455"/>
      <c r="D33" s="455"/>
      <c r="E33" s="455"/>
      <c r="F33" s="455"/>
      <c r="G33" s="455"/>
      <c r="H33" s="455"/>
      <c r="I33" s="455"/>
      <c r="J33" s="455"/>
      <c r="K33" s="455"/>
      <c r="L33" s="455"/>
      <c r="M33" s="455"/>
      <c r="N33" s="455"/>
      <c r="O33" s="455"/>
      <c r="P33" s="455"/>
      <c r="Q33" s="455"/>
      <c r="R33" s="455"/>
      <c r="S33" s="455"/>
    </row>
    <row r="34" spans="1:19" ht="15" hidden="1" customHeight="1">
      <c r="A34" s="455"/>
      <c r="B34" s="455"/>
      <c r="C34" s="455"/>
      <c r="D34" s="455"/>
      <c r="E34" s="455"/>
      <c r="F34" s="455"/>
      <c r="G34" s="455"/>
      <c r="H34" s="455"/>
      <c r="I34" s="455"/>
      <c r="J34" s="455"/>
      <c r="K34" s="455"/>
      <c r="L34" s="455"/>
      <c r="M34" s="455"/>
      <c r="N34" s="455"/>
      <c r="O34" s="455"/>
      <c r="P34" s="455"/>
      <c r="Q34" s="455"/>
      <c r="R34" s="455"/>
      <c r="S34" s="455"/>
    </row>
    <row r="35" spans="1:19" ht="15" hidden="1" customHeight="1">
      <c r="A35" s="455"/>
      <c r="B35" s="455"/>
      <c r="C35" s="455"/>
      <c r="D35" s="455"/>
      <c r="E35" s="455"/>
      <c r="F35" s="455"/>
      <c r="G35" s="455"/>
      <c r="H35" s="455"/>
      <c r="I35" s="455"/>
      <c r="J35" s="455"/>
      <c r="K35" s="455"/>
      <c r="L35" s="455"/>
      <c r="M35" s="455"/>
      <c r="N35" s="455"/>
      <c r="O35" s="455"/>
      <c r="P35" s="455"/>
      <c r="Q35" s="455"/>
      <c r="R35" s="455"/>
      <c r="S35" s="455"/>
    </row>
    <row r="36" spans="1:19" ht="15" hidden="1" customHeight="1">
      <c r="A36" s="455"/>
      <c r="B36" s="455"/>
      <c r="C36" s="455"/>
      <c r="D36" s="455"/>
      <c r="E36" s="455"/>
      <c r="F36" s="455"/>
      <c r="G36" s="455"/>
      <c r="H36" s="455"/>
      <c r="I36" s="455"/>
      <c r="J36" s="455"/>
      <c r="K36" s="455"/>
      <c r="L36" s="455"/>
      <c r="M36" s="455"/>
      <c r="N36" s="455"/>
      <c r="O36" s="455"/>
      <c r="P36" s="455"/>
      <c r="Q36" s="455"/>
      <c r="R36" s="455"/>
      <c r="S36" s="455"/>
    </row>
    <row r="37" spans="1:19" ht="15" hidden="1" customHeight="1">
      <c r="A37" s="455"/>
      <c r="B37" s="455"/>
      <c r="C37" s="455"/>
      <c r="D37" s="455"/>
      <c r="E37" s="455"/>
      <c r="F37" s="455"/>
      <c r="G37" s="455"/>
      <c r="H37" s="455"/>
      <c r="I37" s="455"/>
      <c r="J37" s="455"/>
      <c r="K37" s="455"/>
      <c r="L37" s="455"/>
      <c r="M37" s="455"/>
      <c r="N37" s="455"/>
      <c r="O37" s="455"/>
      <c r="P37" s="455"/>
      <c r="Q37" s="455"/>
      <c r="R37" s="455"/>
      <c r="S37" s="455"/>
    </row>
    <row r="38" spans="1:19" ht="15" hidden="1" customHeight="1">
      <c r="A38" s="455"/>
      <c r="B38" s="455"/>
      <c r="C38" s="455"/>
      <c r="D38" s="455"/>
      <c r="E38" s="455"/>
      <c r="F38" s="455"/>
      <c r="G38" s="455"/>
      <c r="H38" s="455"/>
      <c r="I38" s="455"/>
      <c r="J38" s="455"/>
      <c r="K38" s="455"/>
      <c r="L38" s="455"/>
      <c r="M38" s="455"/>
      <c r="N38" s="455"/>
      <c r="O38" s="455"/>
      <c r="P38" s="455"/>
      <c r="Q38" s="455"/>
      <c r="R38" s="455"/>
      <c r="S38" s="455"/>
    </row>
    <row r="39" spans="1:19" ht="15" hidden="1" customHeight="1">
      <c r="A39" s="455"/>
      <c r="B39" s="455"/>
      <c r="C39" s="455"/>
      <c r="D39" s="455"/>
      <c r="E39" s="455"/>
      <c r="F39" s="455"/>
      <c r="G39" s="455"/>
      <c r="H39" s="455"/>
      <c r="I39" s="455"/>
      <c r="J39" s="455"/>
      <c r="K39" s="455"/>
      <c r="L39" s="455"/>
      <c r="M39" s="455"/>
      <c r="N39" s="455"/>
      <c r="O39" s="455"/>
      <c r="P39" s="455"/>
      <c r="Q39" s="455"/>
      <c r="R39" s="455"/>
      <c r="S39" s="455"/>
    </row>
    <row r="40" spans="1:19" ht="15" hidden="1" customHeight="1">
      <c r="A40" s="455"/>
      <c r="B40" s="455"/>
      <c r="C40" s="455"/>
      <c r="D40" s="455"/>
      <c r="E40" s="455"/>
      <c r="F40" s="455"/>
      <c r="G40" s="455"/>
      <c r="H40" s="455"/>
      <c r="I40" s="455"/>
      <c r="J40" s="455"/>
      <c r="K40" s="455"/>
      <c r="L40" s="455"/>
      <c r="M40" s="455"/>
      <c r="N40" s="455"/>
      <c r="O40" s="455"/>
      <c r="P40" s="455"/>
      <c r="Q40" s="455"/>
      <c r="R40" s="455"/>
      <c r="S40" s="455"/>
    </row>
    <row r="41" spans="1:19" ht="15" hidden="1" customHeight="1">
      <c r="A41" s="455"/>
      <c r="B41" s="455"/>
      <c r="C41" s="455"/>
      <c r="D41" s="455"/>
      <c r="E41" s="455"/>
      <c r="F41" s="455"/>
      <c r="G41" s="455"/>
      <c r="H41" s="455"/>
      <c r="I41" s="455"/>
      <c r="J41" s="455"/>
      <c r="K41" s="455"/>
      <c r="L41" s="455"/>
      <c r="M41" s="455"/>
      <c r="N41" s="455"/>
      <c r="O41" s="455"/>
      <c r="P41" s="455"/>
      <c r="Q41" s="455"/>
      <c r="R41" s="455"/>
      <c r="S41" s="455"/>
    </row>
    <row r="42" spans="1:19" ht="15" hidden="1" customHeight="1">
      <c r="A42" s="455"/>
      <c r="B42" s="455"/>
      <c r="C42" s="455"/>
      <c r="D42" s="455"/>
      <c r="E42" s="455"/>
      <c r="F42" s="455"/>
      <c r="G42" s="455"/>
      <c r="H42" s="455"/>
      <c r="I42" s="455"/>
      <c r="J42" s="455"/>
      <c r="K42" s="455"/>
      <c r="L42" s="455"/>
      <c r="M42" s="455"/>
      <c r="N42" s="455"/>
      <c r="O42" s="455"/>
      <c r="P42" s="455"/>
      <c r="Q42" s="455"/>
      <c r="R42" s="455"/>
      <c r="S42" s="455"/>
    </row>
    <row r="43" spans="1:19" ht="15" hidden="1" customHeight="1">
      <c r="A43" s="455"/>
      <c r="B43" s="455"/>
      <c r="C43" s="455"/>
      <c r="D43" s="455"/>
      <c r="E43" s="455"/>
      <c r="F43" s="455"/>
      <c r="G43" s="455"/>
      <c r="H43" s="455"/>
      <c r="I43" s="455"/>
      <c r="J43" s="455"/>
      <c r="K43" s="455"/>
      <c r="L43" s="455"/>
      <c r="M43" s="455"/>
      <c r="N43" s="455"/>
      <c r="O43" s="455"/>
      <c r="P43" s="455"/>
      <c r="Q43" s="455"/>
      <c r="R43" s="455"/>
      <c r="S43" s="455"/>
    </row>
    <row r="44" spans="1:19" ht="15" hidden="1" customHeight="1">
      <c r="A44" s="455"/>
      <c r="B44" s="455"/>
      <c r="C44" s="455"/>
      <c r="D44" s="455"/>
      <c r="E44" s="455"/>
      <c r="F44" s="455"/>
      <c r="G44" s="455"/>
      <c r="H44" s="455"/>
      <c r="I44" s="455"/>
      <c r="J44" s="455"/>
      <c r="K44" s="455"/>
      <c r="L44" s="455"/>
      <c r="M44" s="455"/>
      <c r="N44" s="455"/>
      <c r="O44" s="455"/>
      <c r="P44" s="455"/>
      <c r="Q44" s="455"/>
      <c r="R44" s="455"/>
      <c r="S44" s="455"/>
    </row>
    <row r="45" spans="1:19" ht="15" hidden="1" customHeight="1">
      <c r="A45" s="455"/>
      <c r="B45" s="455"/>
      <c r="C45" s="455"/>
      <c r="D45" s="455"/>
      <c r="E45" s="455"/>
      <c r="F45" s="455"/>
      <c r="G45" s="455"/>
      <c r="H45" s="455"/>
      <c r="I45" s="455"/>
      <c r="J45" s="455"/>
      <c r="K45" s="455"/>
      <c r="L45" s="455"/>
      <c r="M45" s="455"/>
      <c r="N45" s="455"/>
      <c r="O45" s="455"/>
      <c r="P45" s="455"/>
      <c r="Q45" s="455"/>
      <c r="R45" s="455"/>
      <c r="S45" s="455"/>
    </row>
    <row r="46" spans="1:19" ht="15" hidden="1" customHeight="1">
      <c r="A46" s="455"/>
      <c r="B46" s="455"/>
      <c r="C46" s="455"/>
      <c r="D46" s="455"/>
      <c r="E46" s="455"/>
      <c r="F46" s="455"/>
      <c r="G46" s="455"/>
      <c r="H46" s="455"/>
      <c r="I46" s="455"/>
      <c r="J46" s="455"/>
      <c r="K46" s="455"/>
      <c r="L46" s="455"/>
      <c r="M46" s="455"/>
      <c r="N46" s="455"/>
      <c r="O46" s="455"/>
      <c r="P46" s="455"/>
      <c r="Q46" s="455"/>
      <c r="R46" s="455"/>
      <c r="S46" s="455"/>
    </row>
    <row r="47" spans="1:19" ht="15" hidden="1" customHeight="1">
      <c r="A47" s="455"/>
      <c r="B47" s="455"/>
      <c r="C47" s="455"/>
      <c r="D47" s="455"/>
      <c r="E47" s="455"/>
      <c r="F47" s="455"/>
      <c r="G47" s="455"/>
      <c r="H47" s="455"/>
      <c r="I47" s="455"/>
      <c r="J47" s="455"/>
      <c r="K47" s="455"/>
      <c r="L47" s="455"/>
      <c r="M47" s="455"/>
      <c r="N47" s="455"/>
      <c r="O47" s="455"/>
      <c r="P47" s="455"/>
      <c r="Q47" s="455"/>
      <c r="R47" s="455"/>
      <c r="S47" s="455"/>
    </row>
    <row r="48" spans="1:19" ht="15" hidden="1" customHeight="1">
      <c r="A48" s="455"/>
      <c r="B48" s="455"/>
      <c r="C48" s="455"/>
      <c r="D48" s="455"/>
      <c r="E48" s="455"/>
      <c r="F48" s="455"/>
      <c r="G48" s="455"/>
      <c r="H48" s="455"/>
      <c r="I48" s="455"/>
      <c r="J48" s="455"/>
      <c r="K48" s="455"/>
      <c r="L48" s="455"/>
      <c r="M48" s="455"/>
      <c r="N48" s="455"/>
      <c r="O48" s="455"/>
      <c r="P48" s="455"/>
      <c r="Q48" s="455"/>
      <c r="R48" s="455"/>
      <c r="S48" s="455"/>
    </row>
    <row r="49" spans="1:19" ht="15" hidden="1" customHeight="1">
      <c r="A49" s="455"/>
      <c r="B49" s="455"/>
      <c r="C49" s="455"/>
      <c r="D49" s="455"/>
      <c r="E49" s="455"/>
      <c r="F49" s="455"/>
      <c r="G49" s="455"/>
      <c r="H49" s="455"/>
      <c r="I49" s="455"/>
      <c r="J49" s="455"/>
      <c r="K49" s="455"/>
      <c r="L49" s="455"/>
      <c r="M49" s="455"/>
      <c r="N49" s="455"/>
      <c r="O49" s="455"/>
      <c r="P49" s="455"/>
      <c r="Q49" s="455"/>
      <c r="R49" s="455"/>
      <c r="S49" s="455"/>
    </row>
    <row r="50" spans="1:19" ht="15" hidden="1" customHeight="1">
      <c r="A50" s="455"/>
      <c r="B50" s="455"/>
      <c r="C50" s="455"/>
      <c r="D50" s="455"/>
      <c r="E50" s="455"/>
      <c r="F50" s="455"/>
      <c r="G50" s="455"/>
      <c r="H50" s="455"/>
      <c r="I50" s="455"/>
      <c r="J50" s="455"/>
      <c r="K50" s="455"/>
      <c r="L50" s="455"/>
      <c r="M50" s="455"/>
      <c r="N50" s="455"/>
      <c r="O50" s="455"/>
      <c r="P50" s="455"/>
      <c r="Q50" s="455"/>
      <c r="R50" s="455"/>
      <c r="S50" s="455"/>
    </row>
    <row r="51" spans="1:19" ht="15" hidden="1" customHeight="1">
      <c r="A51" s="455"/>
      <c r="B51" s="455"/>
      <c r="C51" s="455"/>
      <c r="D51" s="455"/>
      <c r="E51" s="455"/>
      <c r="F51" s="455"/>
      <c r="G51" s="455"/>
      <c r="H51" s="455"/>
      <c r="I51" s="455"/>
      <c r="J51" s="455"/>
      <c r="K51" s="455"/>
      <c r="L51" s="455"/>
      <c r="M51" s="455"/>
      <c r="N51" s="455"/>
      <c r="O51" s="455"/>
      <c r="P51" s="455"/>
      <c r="Q51" s="455"/>
      <c r="R51" s="455"/>
      <c r="S51" s="455"/>
    </row>
    <row r="52" spans="1:19" ht="15" hidden="1" customHeight="1">
      <c r="A52" s="455"/>
      <c r="B52" s="455"/>
      <c r="C52" s="455"/>
      <c r="D52" s="455"/>
      <c r="E52" s="455"/>
      <c r="F52" s="455"/>
      <c r="G52" s="455"/>
      <c r="H52" s="455"/>
      <c r="I52" s="455"/>
      <c r="J52" s="455"/>
      <c r="K52" s="455"/>
      <c r="L52" s="455"/>
      <c r="M52" s="455"/>
      <c r="N52" s="455"/>
      <c r="O52" s="455"/>
      <c r="P52" s="455"/>
      <c r="Q52" s="455"/>
      <c r="R52" s="455"/>
      <c r="S52" s="455"/>
    </row>
    <row r="53" spans="1:19" ht="15" hidden="1" customHeight="1">
      <c r="A53" s="455"/>
      <c r="B53" s="455"/>
      <c r="C53" s="455"/>
      <c r="D53" s="455"/>
      <c r="E53" s="455"/>
      <c r="F53" s="455"/>
      <c r="G53" s="455"/>
      <c r="H53" s="455"/>
      <c r="I53" s="455"/>
      <c r="J53" s="455"/>
      <c r="K53" s="455"/>
      <c r="L53" s="455"/>
      <c r="M53" s="455"/>
      <c r="N53" s="455"/>
      <c r="O53" s="455"/>
      <c r="P53" s="455"/>
      <c r="Q53" s="455"/>
      <c r="R53" s="455"/>
      <c r="S53" s="455"/>
    </row>
    <row r="54" spans="1:19" ht="15" hidden="1" customHeight="1">
      <c r="A54" s="455"/>
      <c r="B54" s="455"/>
      <c r="C54" s="455"/>
      <c r="D54" s="455"/>
      <c r="E54" s="455"/>
      <c r="F54" s="455"/>
      <c r="G54" s="455"/>
      <c r="H54" s="455"/>
      <c r="I54" s="455"/>
      <c r="J54" s="455"/>
      <c r="K54" s="455"/>
      <c r="L54" s="455"/>
      <c r="M54" s="455"/>
      <c r="N54" s="455"/>
      <c r="O54" s="455"/>
      <c r="P54" s="455"/>
      <c r="Q54" s="455"/>
      <c r="R54" s="455"/>
      <c r="S54" s="455"/>
    </row>
    <row r="55" spans="1:19" ht="15" hidden="1" customHeight="1">
      <c r="A55" s="455"/>
      <c r="B55" s="455"/>
      <c r="C55" s="455"/>
      <c r="D55" s="455"/>
      <c r="E55" s="455"/>
      <c r="F55" s="455"/>
      <c r="G55" s="455"/>
      <c r="H55" s="455"/>
      <c r="I55" s="455"/>
      <c r="J55" s="455"/>
      <c r="K55" s="455"/>
      <c r="L55" s="455"/>
      <c r="M55" s="455"/>
      <c r="N55" s="455"/>
      <c r="O55" s="455"/>
      <c r="P55" s="455"/>
      <c r="Q55" s="455"/>
      <c r="R55" s="455"/>
      <c r="S55" s="455"/>
    </row>
    <row r="56" spans="1:19" ht="15" hidden="1" customHeight="1">
      <c r="A56" s="455"/>
      <c r="B56" s="455"/>
      <c r="C56" s="455"/>
      <c r="D56" s="455"/>
      <c r="E56" s="455"/>
      <c r="F56" s="455"/>
      <c r="G56" s="455"/>
      <c r="H56" s="455"/>
      <c r="I56" s="455"/>
      <c r="J56" s="455"/>
      <c r="K56" s="455"/>
      <c r="L56" s="455"/>
      <c r="M56" s="455"/>
      <c r="N56" s="455"/>
      <c r="O56" s="455"/>
      <c r="P56" s="455"/>
      <c r="Q56" s="455"/>
      <c r="R56" s="455"/>
      <c r="S56" s="455"/>
    </row>
    <row r="57" spans="1:19" ht="15" hidden="1" customHeight="1">
      <c r="A57" s="455"/>
      <c r="B57" s="455"/>
      <c r="C57" s="455"/>
      <c r="D57" s="455"/>
      <c r="E57" s="455"/>
      <c r="F57" s="455"/>
      <c r="G57" s="455"/>
      <c r="H57" s="455"/>
      <c r="I57" s="455"/>
      <c r="J57" s="455"/>
      <c r="K57" s="455"/>
      <c r="L57" s="455"/>
      <c r="M57" s="455"/>
      <c r="N57" s="455"/>
      <c r="O57" s="455"/>
      <c r="P57" s="455"/>
      <c r="Q57" s="455"/>
      <c r="R57" s="455"/>
      <c r="S57" s="455"/>
    </row>
  </sheetData>
  <sheetProtection password="8B0A" sheet="1" objects="1" scenarios="1"/>
  <mergeCells count="21">
    <mergeCell ref="A1:S1"/>
    <mergeCell ref="A2:S2"/>
    <mergeCell ref="A3:G5"/>
    <mergeCell ref="H3:S3"/>
    <mergeCell ref="I4:J4"/>
    <mergeCell ref="L4:M4"/>
    <mergeCell ref="O4:P4"/>
    <mergeCell ref="R4:S4"/>
    <mergeCell ref="H5:J5"/>
    <mergeCell ref="K5:M5"/>
    <mergeCell ref="N5:P5"/>
    <mergeCell ref="Q5:S5"/>
    <mergeCell ref="A18:S18"/>
    <mergeCell ref="E16:S17"/>
    <mergeCell ref="A17:D17"/>
    <mergeCell ref="E6:S15"/>
    <mergeCell ref="A7:D7"/>
    <mergeCell ref="A9:D9"/>
    <mergeCell ref="A11:D11"/>
    <mergeCell ref="A13:D13"/>
    <mergeCell ref="A15:D15"/>
  </mergeCells>
  <conditionalFormatting sqref="A6:B6">
    <cfRule type="expression" dxfId="222" priority="17">
      <formula>AND($H$5+$K$5+$N$5+$Q$5=$A$6,$E$16&lt;&gt;"")</formula>
    </cfRule>
  </conditionalFormatting>
  <conditionalFormatting sqref="A8:B8">
    <cfRule type="expression" dxfId="221" priority="16">
      <formula>AND($H$5+$K$5+$N$5+$Q$5=$A$8,$E$16&lt;&gt;"")</formula>
    </cfRule>
  </conditionalFormatting>
  <conditionalFormatting sqref="A10:B10">
    <cfRule type="expression" dxfId="220" priority="15">
      <formula>AND($H$5+$K$5+$N$5+$Q$5=$A$10,$E$16&lt;&gt;"")</formula>
    </cfRule>
  </conditionalFormatting>
  <conditionalFormatting sqref="A12:B12">
    <cfRule type="expression" dxfId="219" priority="14">
      <formula>AND($H$5+$K$5+$N$5+$Q$5=$A$12,$E$16&lt;&gt;"")</formula>
    </cfRule>
  </conditionalFormatting>
  <conditionalFormatting sqref="A14:B14">
    <cfRule type="expression" dxfId="218" priority="13">
      <formula>AND($H$5+$K$5+$N$5+$Q$5=$A$14,$E$16&lt;&gt;"")</formula>
    </cfRule>
  </conditionalFormatting>
  <conditionalFormatting sqref="A16:B16">
    <cfRule type="expression" dxfId="217" priority="12">
      <formula>AND($H$5+$K$5+$N$5+$Q$5=$A$16,$E$16&lt;&gt;"")</formula>
    </cfRule>
  </conditionalFormatting>
  <conditionalFormatting sqref="C6:D6">
    <cfRule type="expression" dxfId="216" priority="11">
      <formula>AND($H$5+$K$5+$N$5+$Q$5=$C$6,$E$16&lt;&gt;"")</formula>
    </cfRule>
  </conditionalFormatting>
  <conditionalFormatting sqref="C8:D8">
    <cfRule type="expression" dxfId="215" priority="10">
      <formula>AND($H$5+$K$5+$N$5+$Q$5=$C$8,$E$16&lt;&gt;"")</formula>
    </cfRule>
  </conditionalFormatting>
  <conditionalFormatting sqref="C10:D10">
    <cfRule type="expression" dxfId="214" priority="9">
      <formula>AND($H$5+$K$5+$N$5+$Q$5=$C$10,$E$16&lt;&gt;"")</formula>
    </cfRule>
  </conditionalFormatting>
  <conditionalFormatting sqref="C12:D12">
    <cfRule type="expression" dxfId="213" priority="8">
      <formula>AND($H$5+$K$5+$N$5+$Q$5=$C$12,$E$16&lt;&gt;"")</formula>
    </cfRule>
  </conditionalFormatting>
  <conditionalFormatting sqref="C14:D14">
    <cfRule type="expression" dxfId="212" priority="7">
      <formula>AND($H$5+$K$5+$N$5+$Q$5=$C$14,$E$16&lt;&gt;"")</formula>
    </cfRule>
  </conditionalFormatting>
  <conditionalFormatting sqref="C16:D16">
    <cfRule type="expression" dxfId="211" priority="6">
      <formula>AND($H$5+$K$5+$N$5+$Q$5=$C$16,$E$16&lt;&gt;"")</formula>
    </cfRule>
  </conditionalFormatting>
  <conditionalFormatting sqref="K4 H4 N4 Q4">
    <cfRule type="expression" dxfId="210" priority="5">
      <formula>$E$16="                  Il semblerait qu'il y ait une erreur, avez vous bien regardé toutes les cartes ? Vérifiez vos réponses."</formula>
    </cfRule>
  </conditionalFormatting>
  <conditionalFormatting sqref="A18">
    <cfRule type="expression" dxfId="209" priority="4">
      <formula>$A$18&lt;&gt;""</formula>
    </cfRule>
  </conditionalFormatting>
  <conditionalFormatting sqref="E16">
    <cfRule type="expression" dxfId="208" priority="3">
      <formula>$E$16="                  Il semblerait qu'il y ait une erreur, avez vous bien regardé toutes les cartes ? Vérifiez vos réponses."</formula>
    </cfRule>
  </conditionalFormatting>
  <conditionalFormatting sqref="A3:G5">
    <cfRule type="expression" dxfId="207" priority="2">
      <formula>$A$3="Cliquez sur le symbole des 5 élèments pour recommencer."</formula>
    </cfRule>
  </conditionalFormatting>
  <conditionalFormatting sqref="A17:D17">
    <cfRule type="expression" dxfId="206" priority="1">
      <formula>$A$17&lt;&gt;""</formula>
    </cfRule>
  </conditionalFormatting>
  <dataValidations count="1">
    <dataValidation type="list" allowBlank="1" showInputMessage="1" showErrorMessage="1" sqref="H4 K4 N4 Q4">
      <formula1>"Oui,Non"</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sheetPr codeName="Feuil32"/>
  <dimension ref="A1:D3"/>
  <sheetViews>
    <sheetView showGridLines="0" showRowColHeaders="0" workbookViewId="0">
      <selection activeCell="C1" sqref="C1"/>
    </sheetView>
  </sheetViews>
  <sheetFormatPr baseColWidth="10" defaultColWidth="0" defaultRowHeight="15" customHeight="1" zeroHeight="1"/>
  <cols>
    <col min="1" max="1" width="82.42578125" customWidth="1"/>
    <col min="2" max="2" width="35.28515625" bestFit="1" customWidth="1"/>
    <col min="3" max="3" width="8.42578125" customWidth="1"/>
    <col min="4" max="4" width="12.7109375" customWidth="1"/>
    <col min="5" max="16384" width="186.5703125" hidden="1"/>
  </cols>
  <sheetData>
    <row r="1" spans="1:4" ht="18" customHeight="1">
      <c r="A1" s="250" t="s">
        <v>394</v>
      </c>
      <c r="B1" s="251" t="s">
        <v>293</v>
      </c>
      <c r="C1" s="475"/>
      <c r="D1" s="257" t="s">
        <v>236</v>
      </c>
    </row>
    <row r="2" spans="1:4" ht="330" customHeight="1">
      <c r="A2" s="838"/>
      <c r="B2" s="838"/>
      <c r="C2" s="838"/>
      <c r="D2" s="838"/>
    </row>
    <row r="3" spans="1:4" ht="237" customHeight="1">
      <c r="A3" s="838"/>
      <c r="B3" s="838"/>
      <c r="C3" s="838"/>
      <c r="D3" s="838"/>
    </row>
  </sheetData>
  <sheetProtection password="8B0A" sheet="1" objects="1" scenarios="1"/>
  <mergeCells count="1">
    <mergeCell ref="A2:D3"/>
  </mergeCells>
  <dataValidations count="1">
    <dataValidation type="list" allowBlank="1" showInputMessage="1" showErrorMessage="1" sqref="C1">
      <formula1>"oui,non"</formula1>
    </dataValidation>
  </dataValidations>
  <hyperlinks>
    <hyperlink ref="D1" location="SigneAstroChinois!A1" display="Retour"/>
  </hyperlinks>
  <pageMargins left="0.7" right="0.7" top="0.75" bottom="0.75" header="0.3" footer="0.3"/>
  <pageSetup paperSize="9" orientation="portrait" verticalDpi="0" r:id="rId1"/>
  <drawing r:id="rId2"/>
</worksheet>
</file>

<file path=xl/worksheets/sheet28.xml><?xml version="1.0" encoding="utf-8"?>
<worksheet xmlns="http://schemas.openxmlformats.org/spreadsheetml/2006/main" xmlns:r="http://schemas.openxmlformats.org/officeDocument/2006/relationships">
  <sheetPr codeName="Feuil31"/>
  <dimension ref="A1:S18"/>
  <sheetViews>
    <sheetView showGridLines="0" showRowColHeaders="0" zoomScaleNormal="100" workbookViewId="0">
      <selection sqref="A1:S1"/>
    </sheetView>
  </sheetViews>
  <sheetFormatPr baseColWidth="10" defaultColWidth="0" defaultRowHeight="0" customHeight="1" zeroHeight="1"/>
  <cols>
    <col min="1" max="1" width="2.7109375" style="456" customWidth="1"/>
    <col min="2" max="2" width="16.7109375" style="456" customWidth="1"/>
    <col min="3" max="3" width="2.7109375" style="456" customWidth="1"/>
    <col min="4" max="4" width="16.7109375" style="456" customWidth="1"/>
    <col min="5" max="7" width="11.42578125" style="456" customWidth="1"/>
    <col min="8" max="8" width="11.7109375" style="456" customWidth="1"/>
    <col min="9" max="10" width="11.42578125" style="456" customWidth="1"/>
    <col min="11" max="11" width="11.7109375" style="456" customWidth="1"/>
    <col min="12" max="13" width="11.42578125" style="456" customWidth="1"/>
    <col min="14" max="14" width="11.7109375" style="456" customWidth="1"/>
    <col min="15" max="16" width="11.42578125" style="456" customWidth="1"/>
    <col min="17" max="17" width="11.7109375" style="456" customWidth="1"/>
    <col min="18" max="19" width="11.42578125" style="456" customWidth="1"/>
    <col min="20" max="16384" width="11.42578125" style="429" hidden="1"/>
  </cols>
  <sheetData>
    <row r="1" spans="1:19" ht="44.25" customHeight="1">
      <c r="A1" s="853" t="s">
        <v>398</v>
      </c>
      <c r="B1" s="853"/>
      <c r="C1" s="853"/>
      <c r="D1" s="853"/>
      <c r="E1" s="853"/>
      <c r="F1" s="853"/>
      <c r="G1" s="853"/>
      <c r="H1" s="853"/>
      <c r="I1" s="853"/>
      <c r="J1" s="853"/>
      <c r="K1" s="853"/>
      <c r="L1" s="853"/>
      <c r="M1" s="853"/>
      <c r="N1" s="853"/>
      <c r="O1" s="853"/>
      <c r="P1" s="853"/>
      <c r="Q1" s="853"/>
      <c r="R1" s="853"/>
      <c r="S1" s="853"/>
    </row>
    <row r="2" spans="1:19" ht="15" customHeight="1">
      <c r="A2" s="836" t="str">
        <f>IF(OR('Signe Egyptien'!C1="oui",A18&lt;&gt;""),"Bonus débloqué, Félicitations !!",IF(PARA!E8&lt;&gt;"","Votre signe est '"&amp;PARA!G8&amp;"', mais saurez-vous trouvez le mien pour débloquer le bonus ?","Pour débloquer le bonus, découvrez de quel signe je-suis !"))</f>
        <v>Pour débloquer le bonus, découvrez de quel signe je-suis !</v>
      </c>
      <c r="B2" s="836"/>
      <c r="C2" s="836"/>
      <c r="D2" s="836"/>
      <c r="E2" s="836"/>
      <c r="F2" s="836"/>
      <c r="G2" s="836"/>
      <c r="H2" s="836"/>
      <c r="I2" s="836"/>
      <c r="J2" s="836"/>
      <c r="K2" s="836"/>
      <c r="L2" s="836"/>
      <c r="M2" s="836"/>
      <c r="N2" s="836"/>
      <c r="O2" s="836"/>
      <c r="P2" s="836"/>
      <c r="Q2" s="836"/>
      <c r="R2" s="836"/>
      <c r="S2" s="836"/>
    </row>
    <row r="3" spans="1:19" ht="15" customHeight="1">
      <c r="A3" s="854" t="str">
        <f>IF(E16="","Choississez un des 12 signes de l'astrologie égyptienne ci-dessous.                         Apparait-il dans les papyrus ci-contre ?"&amp;"                                                                                     Une fois votre saisie terminée le résultat apparait en dessous des papyrus.","Cliquez sur l'oeil oudjat (ou l'oeil d'Horus) pour recommencer.")</f>
        <v>Choississez un des 12 signes de l'astrologie égyptienne ci-dessous.                         Apparait-il dans les papyrus ci-contre ?                                                                                     Une fois votre saisie terminée le résultat apparait en dessous des papyrus.</v>
      </c>
      <c r="B3" s="854"/>
      <c r="C3" s="854"/>
      <c r="D3" s="854"/>
      <c r="E3" s="854"/>
      <c r="F3" s="854"/>
      <c r="G3" s="854"/>
      <c r="H3" s="855"/>
      <c r="I3" s="855"/>
      <c r="J3" s="855"/>
      <c r="K3" s="855"/>
      <c r="L3" s="855"/>
      <c r="M3" s="855"/>
      <c r="N3" s="855"/>
      <c r="O3" s="855"/>
      <c r="P3" s="855"/>
      <c r="Q3" s="855"/>
      <c r="R3" s="855"/>
      <c r="S3" s="855"/>
    </row>
    <row r="4" spans="1:19" ht="15.75">
      <c r="A4" s="854"/>
      <c r="B4" s="854"/>
      <c r="C4" s="854"/>
      <c r="D4" s="854"/>
      <c r="E4" s="854"/>
      <c r="F4" s="854"/>
      <c r="G4" s="854"/>
      <c r="H4" s="337"/>
      <c r="I4" s="856"/>
      <c r="J4" s="856"/>
      <c r="K4" s="337"/>
      <c r="L4" s="856"/>
      <c r="M4" s="856"/>
      <c r="N4" s="337"/>
      <c r="O4" s="856"/>
      <c r="P4" s="856"/>
      <c r="Q4" s="337"/>
      <c r="R4" s="856"/>
      <c r="S4" s="856"/>
    </row>
    <row r="5" spans="1:19" ht="29.25" customHeight="1">
      <c r="A5" s="854"/>
      <c r="B5" s="854"/>
      <c r="C5" s="854"/>
      <c r="D5" s="854"/>
      <c r="E5" s="854"/>
      <c r="F5" s="854"/>
      <c r="G5" s="854"/>
      <c r="H5" s="857">
        <f>IF(H4="oui",4,0)</f>
        <v>0</v>
      </c>
      <c r="I5" s="857"/>
      <c r="J5" s="857"/>
      <c r="K5" s="857">
        <f>IF(K4="oui",8,0)</f>
        <v>0</v>
      </c>
      <c r="L5" s="857"/>
      <c r="M5" s="857"/>
      <c r="N5" s="857">
        <f>IF(N4="oui",1,0)</f>
        <v>0</v>
      </c>
      <c r="O5" s="857"/>
      <c r="P5" s="857"/>
      <c r="Q5" s="857">
        <f>IF(Q4="oui",2,0)</f>
        <v>0</v>
      </c>
      <c r="R5" s="857"/>
      <c r="S5" s="857"/>
    </row>
    <row r="6" spans="1:19" ht="45" customHeight="1">
      <c r="A6" s="339">
        <v>3</v>
      </c>
      <c r="B6" s="336" t="s">
        <v>332</v>
      </c>
      <c r="C6" s="339">
        <v>7</v>
      </c>
      <c r="D6" s="336" t="s">
        <v>335</v>
      </c>
      <c r="E6" s="852"/>
      <c r="F6" s="852"/>
      <c r="G6" s="852"/>
      <c r="H6" s="852"/>
      <c r="I6" s="852"/>
      <c r="J6" s="852"/>
      <c r="K6" s="852"/>
      <c r="L6" s="852"/>
      <c r="M6" s="852"/>
      <c r="N6" s="852"/>
      <c r="O6" s="852"/>
      <c r="P6" s="852"/>
      <c r="Q6" s="852"/>
      <c r="R6" s="852"/>
      <c r="S6" s="852"/>
    </row>
    <row r="7" spans="1:19" ht="15.75" customHeight="1">
      <c r="A7" s="851"/>
      <c r="B7" s="851"/>
      <c r="C7" s="851"/>
      <c r="D7" s="851"/>
      <c r="E7" s="852"/>
      <c r="F7" s="852"/>
      <c r="G7" s="852"/>
      <c r="H7" s="852"/>
      <c r="I7" s="852"/>
      <c r="J7" s="852"/>
      <c r="K7" s="852"/>
      <c r="L7" s="852"/>
      <c r="M7" s="852"/>
      <c r="N7" s="852"/>
      <c r="O7" s="852"/>
      <c r="P7" s="852"/>
      <c r="Q7" s="852"/>
      <c r="R7" s="852"/>
      <c r="S7" s="852"/>
    </row>
    <row r="8" spans="1:19" ht="42.75" customHeight="1">
      <c r="A8" s="339">
        <v>5</v>
      </c>
      <c r="B8" s="336" t="s">
        <v>336</v>
      </c>
      <c r="C8" s="339">
        <v>12</v>
      </c>
      <c r="D8" s="336" t="s">
        <v>333</v>
      </c>
      <c r="E8" s="852"/>
      <c r="F8" s="852"/>
      <c r="G8" s="852"/>
      <c r="H8" s="852"/>
      <c r="I8" s="852"/>
      <c r="J8" s="852"/>
      <c r="K8" s="852"/>
      <c r="L8" s="852"/>
      <c r="M8" s="852"/>
      <c r="N8" s="852"/>
      <c r="O8" s="852"/>
      <c r="P8" s="852"/>
      <c r="Q8" s="852"/>
      <c r="R8" s="852"/>
      <c r="S8" s="852"/>
    </row>
    <row r="9" spans="1:19" ht="15.75" customHeight="1">
      <c r="A9" s="851"/>
      <c r="B9" s="851"/>
      <c r="C9" s="851"/>
      <c r="D9" s="851"/>
      <c r="E9" s="852"/>
      <c r="F9" s="852"/>
      <c r="G9" s="852"/>
      <c r="H9" s="852"/>
      <c r="I9" s="852"/>
      <c r="J9" s="852"/>
      <c r="K9" s="852"/>
      <c r="L9" s="852"/>
      <c r="M9" s="852"/>
      <c r="N9" s="852"/>
      <c r="O9" s="852"/>
      <c r="P9" s="852"/>
      <c r="Q9" s="852"/>
      <c r="R9" s="852"/>
      <c r="S9" s="852"/>
    </row>
    <row r="10" spans="1:19" ht="42" customHeight="1">
      <c r="A10" s="339">
        <v>13</v>
      </c>
      <c r="B10" s="336" t="s">
        <v>337</v>
      </c>
      <c r="C10" s="339">
        <v>4</v>
      </c>
      <c r="D10" s="336" t="s">
        <v>334</v>
      </c>
      <c r="E10" s="852"/>
      <c r="F10" s="852"/>
      <c r="G10" s="852"/>
      <c r="H10" s="852"/>
      <c r="I10" s="852"/>
      <c r="J10" s="852"/>
      <c r="K10" s="852"/>
      <c r="L10" s="852"/>
      <c r="M10" s="852"/>
      <c r="N10" s="852"/>
      <c r="O10" s="852"/>
      <c r="P10" s="852"/>
      <c r="Q10" s="852"/>
      <c r="R10" s="852"/>
      <c r="S10" s="852"/>
    </row>
    <row r="11" spans="1:19" ht="15.75" customHeight="1">
      <c r="A11" s="851"/>
      <c r="B11" s="851"/>
      <c r="C11" s="851"/>
      <c r="D11" s="851"/>
      <c r="E11" s="852"/>
      <c r="F11" s="852"/>
      <c r="G11" s="852"/>
      <c r="H11" s="852"/>
      <c r="I11" s="852"/>
      <c r="J11" s="852"/>
      <c r="K11" s="852"/>
      <c r="L11" s="852"/>
      <c r="M11" s="852"/>
      <c r="N11" s="852"/>
      <c r="O11" s="852"/>
      <c r="P11" s="852"/>
      <c r="Q11" s="852"/>
      <c r="R11" s="852"/>
      <c r="S11" s="852"/>
    </row>
    <row r="12" spans="1:19" ht="42.75" customHeight="1">
      <c r="A12" s="339">
        <v>11</v>
      </c>
      <c r="B12" s="336" t="s">
        <v>339</v>
      </c>
      <c r="C12" s="339">
        <v>6</v>
      </c>
      <c r="D12" s="336" t="s">
        <v>338</v>
      </c>
      <c r="E12" s="852"/>
      <c r="F12" s="852"/>
      <c r="G12" s="852"/>
      <c r="H12" s="852"/>
      <c r="I12" s="852"/>
      <c r="J12" s="852"/>
      <c r="K12" s="852"/>
      <c r="L12" s="852"/>
      <c r="M12" s="852"/>
      <c r="N12" s="852"/>
      <c r="O12" s="852"/>
      <c r="P12" s="852"/>
      <c r="Q12" s="852"/>
      <c r="R12" s="852"/>
      <c r="S12" s="852"/>
    </row>
    <row r="13" spans="1:19" ht="15.75" customHeight="1">
      <c r="A13" s="851"/>
      <c r="B13" s="851"/>
      <c r="C13" s="851"/>
      <c r="D13" s="851"/>
      <c r="E13" s="852"/>
      <c r="F13" s="852"/>
      <c r="G13" s="852"/>
      <c r="H13" s="852"/>
      <c r="I13" s="852"/>
      <c r="J13" s="852"/>
      <c r="K13" s="852"/>
      <c r="L13" s="852"/>
      <c r="M13" s="852"/>
      <c r="N13" s="852"/>
      <c r="O13" s="852"/>
      <c r="P13" s="852"/>
      <c r="Q13" s="852"/>
      <c r="R13" s="852"/>
      <c r="S13" s="852"/>
    </row>
    <row r="14" spans="1:19" ht="37.5" customHeight="1">
      <c r="A14" s="339">
        <v>9</v>
      </c>
      <c r="B14" s="336" t="s">
        <v>340</v>
      </c>
      <c r="C14" s="339">
        <v>2</v>
      </c>
      <c r="D14" s="336" t="s">
        <v>341</v>
      </c>
      <c r="E14" s="852"/>
      <c r="F14" s="852"/>
      <c r="G14" s="852"/>
      <c r="H14" s="852"/>
      <c r="I14" s="852"/>
      <c r="J14" s="852"/>
      <c r="K14" s="852"/>
      <c r="L14" s="852"/>
      <c r="M14" s="852"/>
      <c r="N14" s="852"/>
      <c r="O14" s="852"/>
      <c r="P14" s="852"/>
      <c r="Q14" s="852"/>
      <c r="R14" s="852"/>
      <c r="S14" s="852"/>
    </row>
    <row r="15" spans="1:19" ht="15.75" customHeight="1">
      <c r="A15" s="851"/>
      <c r="B15" s="851"/>
      <c r="C15" s="851"/>
      <c r="D15" s="851"/>
      <c r="E15" s="852"/>
      <c r="F15" s="852"/>
      <c r="G15" s="852"/>
      <c r="H15" s="852"/>
      <c r="I15" s="852"/>
      <c r="J15" s="852"/>
      <c r="K15" s="852"/>
      <c r="L15" s="852"/>
      <c r="M15" s="852"/>
      <c r="N15" s="852"/>
      <c r="O15" s="852"/>
      <c r="P15" s="852"/>
      <c r="Q15" s="852"/>
      <c r="R15" s="852"/>
      <c r="S15" s="852"/>
    </row>
    <row r="16" spans="1:19" ht="40.5" customHeight="1">
      <c r="A16" s="362">
        <v>8</v>
      </c>
      <c r="B16" s="336" t="s">
        <v>342</v>
      </c>
      <c r="C16" s="362">
        <v>10</v>
      </c>
      <c r="D16" s="336" t="s">
        <v>397</v>
      </c>
      <c r="E16" s="850" t="str">
        <f>IF(OR(H4="",K4="",N4="",Q4=""),"",IF(OR(H5+K5+N5+Q5&lt;2,H5+K5+N5+Q5&gt;13),"Il semblerait qu'il y ait une erreur, avez vous bien regardé toutes les cartes ? Vérifiez vos réponses.","Le signe que vous avez choisi est: "&amp;IF(H5+K5+N5+Q5=A6,B6,IF(H5+K5+N5+Q5=A8,B8,IF(H5+K5+N5+Q5=A10,B10,IF(H5+K5+N5+Q5=A12,B12,IF(H5+K5+N5+Q5=A14,B14,IF(H5+K5+N5+Q5=A16,B16,IF(H5+K5+N5+Q5=C6,D6,IF(H5+K5+N5+Q5=C8,D8,IF(H5+K5+N5+Q5=C10,D10,IF(H5+K5+N5+Q5=C12,D12,IF(H5+K5+N5+Q5=C14,D14,IF(H5+K5+N5+Q5=C16,D16,""))))))))))))))</f>
        <v/>
      </c>
      <c r="F16" s="850"/>
      <c r="G16" s="850"/>
      <c r="H16" s="850"/>
      <c r="I16" s="850"/>
      <c r="J16" s="850"/>
      <c r="K16" s="850"/>
      <c r="L16" s="850"/>
      <c r="M16" s="850"/>
      <c r="N16" s="850"/>
      <c r="O16" s="850"/>
      <c r="P16" s="850"/>
      <c r="Q16" s="850"/>
      <c r="R16" s="850"/>
      <c r="S16" s="850"/>
    </row>
    <row r="17" spans="1:19" ht="15" customHeight="1">
      <c r="A17" s="851"/>
      <c r="B17" s="851"/>
      <c r="C17" s="851"/>
      <c r="D17" s="851"/>
      <c r="E17" s="850"/>
      <c r="F17" s="850"/>
      <c r="G17" s="850"/>
      <c r="H17" s="850"/>
      <c r="I17" s="850"/>
      <c r="J17" s="850"/>
      <c r="K17" s="850"/>
      <c r="L17" s="850"/>
      <c r="M17" s="850"/>
      <c r="N17" s="850"/>
      <c r="O17" s="850"/>
      <c r="P17" s="850"/>
      <c r="Q17" s="850"/>
      <c r="R17" s="850"/>
      <c r="S17" s="850"/>
    </row>
    <row r="18" spans="1:19" ht="15" customHeight="1">
      <c r="A18" s="849" t="str">
        <f>IF(E16="Il semblerait qu'il y ait une erreur, avez vous bien regardé toutes les cartes ? Vérifiez vos réponses.","",IF(OR('Signe Egyptien'!C1="oui",E16="Le signe que vous avez choisi est: "&amp;D10),"BONUS -- Pour en savoir plus sur votre signe égyptien, cliquez ICI -- BONUS -- Pour en savoir plus sur votre signe égyptien, cliquez ICI -- BONUS -- Pour en savoir plus sur votre signe égyptien, cliquez ICI -- BONUS ",""))</f>
        <v/>
      </c>
      <c r="B18" s="849"/>
      <c r="C18" s="849"/>
      <c r="D18" s="849"/>
      <c r="E18" s="849"/>
      <c r="F18" s="849"/>
      <c r="G18" s="849"/>
      <c r="H18" s="849"/>
      <c r="I18" s="849"/>
      <c r="J18" s="849"/>
      <c r="K18" s="849"/>
      <c r="L18" s="849"/>
      <c r="M18" s="849"/>
      <c r="N18" s="849"/>
      <c r="O18" s="849"/>
      <c r="P18" s="849"/>
      <c r="Q18" s="849"/>
      <c r="R18" s="849"/>
      <c r="S18" s="849"/>
    </row>
  </sheetData>
  <sheetProtection password="8B0A" sheet="1" objects="1" scenarios="1"/>
  <mergeCells count="21">
    <mergeCell ref="A1:S1"/>
    <mergeCell ref="A2:S2"/>
    <mergeCell ref="A3:G5"/>
    <mergeCell ref="H3:S3"/>
    <mergeCell ref="I4:J4"/>
    <mergeCell ref="L4:M4"/>
    <mergeCell ref="O4:P4"/>
    <mergeCell ref="R4:S4"/>
    <mergeCell ref="H5:J5"/>
    <mergeCell ref="K5:M5"/>
    <mergeCell ref="N5:P5"/>
    <mergeCell ref="Q5:S5"/>
    <mergeCell ref="A18:S18"/>
    <mergeCell ref="E16:S17"/>
    <mergeCell ref="A17:D17"/>
    <mergeCell ref="E6:S15"/>
    <mergeCell ref="A7:D7"/>
    <mergeCell ref="A9:D9"/>
    <mergeCell ref="A11:D11"/>
    <mergeCell ref="A13:D13"/>
    <mergeCell ref="A15:D15"/>
  </mergeCells>
  <conditionalFormatting sqref="A6:B6">
    <cfRule type="expression" dxfId="205" priority="16">
      <formula>AND($H$5+$K$5+$N$5+$Q$5=$A$6,$E$16&lt;&gt;"")</formula>
    </cfRule>
  </conditionalFormatting>
  <conditionalFormatting sqref="A8:B8">
    <cfRule type="expression" dxfId="204" priority="15">
      <formula>AND($H$5+$K$5+$N$5+$Q$5=$A$8,$E$16&lt;&gt;"")</formula>
    </cfRule>
  </conditionalFormatting>
  <conditionalFormatting sqref="A10:B10">
    <cfRule type="expression" dxfId="203" priority="14">
      <formula>AND($H$5+$K$5+$N$5+$Q$5=$A$10,$E$16&lt;&gt;"")</formula>
    </cfRule>
  </conditionalFormatting>
  <conditionalFormatting sqref="A12:B12">
    <cfRule type="expression" dxfId="202" priority="13">
      <formula>AND($H$5+$K$5+$N$5+$Q$5=$A$12,$E$16&lt;&gt;"")</formula>
    </cfRule>
  </conditionalFormatting>
  <conditionalFormatting sqref="A14:B14">
    <cfRule type="expression" dxfId="201" priority="12">
      <formula>AND($H$5+$K$5+$N$5+$Q$5=$A$14,$E$16&lt;&gt;"")</formula>
    </cfRule>
  </conditionalFormatting>
  <conditionalFormatting sqref="A16:B16">
    <cfRule type="expression" dxfId="200" priority="11">
      <formula>AND($H$5+$K$5+$N$5+$Q$5=$A$16,$E$16&lt;&gt;"")</formula>
    </cfRule>
  </conditionalFormatting>
  <conditionalFormatting sqref="C6:D6">
    <cfRule type="expression" dxfId="199" priority="10">
      <formula>AND($H$5+$K$5+$N$5+$Q$5=$C$6,$E$16&lt;&gt;"")</formula>
    </cfRule>
  </conditionalFormatting>
  <conditionalFormatting sqref="C8:D8">
    <cfRule type="expression" dxfId="198" priority="9">
      <formula>AND($H$5+$K$5+$N$5+$Q$5=$C$8,$E$16&lt;&gt;"")</formula>
    </cfRule>
  </conditionalFormatting>
  <conditionalFormatting sqref="C10:D10">
    <cfRule type="expression" dxfId="197" priority="8">
      <formula>AND($H$5+$K$5+$N$5+$Q$5=$C$10,$E$16&lt;&gt;"")</formula>
    </cfRule>
  </conditionalFormatting>
  <conditionalFormatting sqref="C12:D12">
    <cfRule type="expression" dxfId="196" priority="7">
      <formula>AND($H$5+$K$5+$N$5+$Q$5=$C$12,$E$16&lt;&gt;"")</formula>
    </cfRule>
  </conditionalFormatting>
  <conditionalFormatting sqref="C14:D14">
    <cfRule type="expression" dxfId="195" priority="6">
      <formula>AND($H$5+$K$5+$N$5+$Q$5=$C$14,$E$16&lt;&gt;"")</formula>
    </cfRule>
  </conditionalFormatting>
  <conditionalFormatting sqref="C16:D16">
    <cfRule type="expression" dxfId="194" priority="5">
      <formula>AND($H$5+$K$5+$N$5+$Q$5=$C$16,$E$16&lt;&gt;"")</formula>
    </cfRule>
  </conditionalFormatting>
  <conditionalFormatting sqref="K4 H4 N4 Q4">
    <cfRule type="expression" dxfId="193" priority="4">
      <formula>$E$16="                  Il semblerait qu'il y ait une erreur, avez vous bien regardé toutes les cartes ? Vérifiez vos réponses."</formula>
    </cfRule>
  </conditionalFormatting>
  <conditionalFormatting sqref="A18">
    <cfRule type="expression" dxfId="192" priority="3">
      <formula>$A$18&lt;&gt;""</formula>
    </cfRule>
  </conditionalFormatting>
  <conditionalFormatting sqref="E16">
    <cfRule type="expression" dxfId="191" priority="2">
      <formula>$E$16="Il semblerait qu'il y ait une erreur, avez vous bien regardé toutes les cartes ? Vérifiez vos réponses."</formula>
    </cfRule>
  </conditionalFormatting>
  <conditionalFormatting sqref="A3:G5">
    <cfRule type="expression" dxfId="190" priority="1">
      <formula>$A$3="Cliquez sur l'oeil oudjat (ou l'oeil d'Horus) pour recommencer."</formula>
    </cfRule>
  </conditionalFormatting>
  <dataValidations count="1">
    <dataValidation type="list" allowBlank="1" showInputMessage="1" showErrorMessage="1" sqref="H4 Q4 N4 K4">
      <formula1>"Oui,Non"</formula1>
    </dataValidation>
  </dataValidations>
  <pageMargins left="0.7" right="0.7" top="0.75" bottom="0.75" header="0.3" footer="0.3"/>
  <pageSetup paperSize="9" orientation="portrait" r:id="rId1"/>
  <drawing r:id="rId2"/>
  <legacyDrawing r:id="rId3"/>
</worksheet>
</file>

<file path=xl/worksheets/sheet29.xml><?xml version="1.0" encoding="utf-8"?>
<worksheet xmlns="http://schemas.openxmlformats.org/spreadsheetml/2006/main" xmlns:r="http://schemas.openxmlformats.org/officeDocument/2006/relationships">
  <sheetPr codeName="Feuil33"/>
  <dimension ref="A1:D3"/>
  <sheetViews>
    <sheetView showGridLines="0" showRowColHeaders="0" workbookViewId="0">
      <selection activeCell="C1" sqref="C1"/>
    </sheetView>
  </sheetViews>
  <sheetFormatPr baseColWidth="10" defaultColWidth="0" defaultRowHeight="15" customHeight="1" zeroHeight="1"/>
  <cols>
    <col min="1" max="1" width="82.42578125" customWidth="1"/>
    <col min="2" max="2" width="35.28515625" bestFit="1" customWidth="1"/>
    <col min="3" max="3" width="8.42578125" customWidth="1"/>
    <col min="4" max="4" width="12.7109375" customWidth="1"/>
    <col min="5" max="16384" width="186.5703125" hidden="1"/>
  </cols>
  <sheetData>
    <row r="1" spans="1:4" ht="18" customHeight="1">
      <c r="A1" s="250" t="s">
        <v>396</v>
      </c>
      <c r="B1" s="251" t="s">
        <v>293</v>
      </c>
      <c r="C1" s="475"/>
      <c r="D1" s="351" t="s">
        <v>236</v>
      </c>
    </row>
    <row r="2" spans="1:4" ht="330" customHeight="1">
      <c r="A2" s="838"/>
      <c r="B2" s="838"/>
      <c r="C2" s="838"/>
      <c r="D2" s="838"/>
    </row>
    <row r="3" spans="1:4" ht="237" customHeight="1">
      <c r="A3" s="838"/>
      <c r="B3" s="838"/>
      <c r="C3" s="838"/>
      <c r="D3" s="838"/>
    </row>
  </sheetData>
  <sheetProtection password="8B0A" sheet="1" objects="1" scenarios="1"/>
  <mergeCells count="1">
    <mergeCell ref="A2:D3"/>
  </mergeCells>
  <dataValidations count="1">
    <dataValidation type="list" allowBlank="1" showInputMessage="1" showErrorMessage="1" sqref="C1">
      <formula1>"oui,non"</formula1>
    </dataValidation>
  </dataValidations>
  <hyperlinks>
    <hyperlink ref="D1" location="SigneAstroEgyptien!A1" display="Retour"/>
  </hyperlinks>
  <pageMargins left="0.7" right="0.7" top="0.75" bottom="0.75" header="0.3" footer="0.3"/>
  <pageSetup paperSize="9" orientation="portrait" verticalDpi="0" r:id="rId1"/>
  <drawing r:id="rId2"/>
</worksheet>
</file>

<file path=xl/worksheets/sheet30.xml><?xml version="1.0" encoding="utf-8"?>
<worksheet xmlns="http://schemas.openxmlformats.org/spreadsheetml/2006/main" xmlns:r="http://schemas.openxmlformats.org/officeDocument/2006/relationships">
  <sheetPr codeName="Feuil15"/>
  <dimension ref="A1:T18"/>
  <sheetViews>
    <sheetView showGridLines="0" showRowColHeaders="0" workbookViewId="0">
      <selection sqref="A1:R1"/>
    </sheetView>
  </sheetViews>
  <sheetFormatPr baseColWidth="10" defaultColWidth="0" defaultRowHeight="15" zeroHeight="1"/>
  <cols>
    <col min="1" max="1" width="45.42578125" style="52" customWidth="1"/>
    <col min="2" max="2" width="11.42578125" style="52" customWidth="1"/>
    <col min="3" max="9" width="5.7109375" style="52" customWidth="1"/>
    <col min="10" max="12" width="11.42578125" style="52" customWidth="1"/>
    <col min="13" max="13" width="15.140625" style="52" customWidth="1"/>
    <col min="14" max="14" width="11.42578125" style="52" customWidth="1"/>
    <col min="15" max="15" width="7.85546875" style="52" customWidth="1"/>
    <col min="16" max="16" width="5.140625" style="52" customWidth="1"/>
    <col min="17" max="17" width="10.42578125" style="52" customWidth="1"/>
    <col min="18" max="18" width="5" style="52" customWidth="1"/>
    <col min="19" max="20" width="0" style="52" hidden="1" customWidth="1"/>
    <col min="21" max="16384" width="11.42578125" style="52" hidden="1"/>
  </cols>
  <sheetData>
    <row r="1" spans="1:20" ht="36.75" customHeight="1">
      <c r="A1" s="863" t="s">
        <v>137</v>
      </c>
      <c r="B1" s="863"/>
      <c r="C1" s="863"/>
      <c r="D1" s="863"/>
      <c r="E1" s="863"/>
      <c r="F1" s="863"/>
      <c r="G1" s="863"/>
      <c r="H1" s="863"/>
      <c r="I1" s="863"/>
      <c r="J1" s="863"/>
      <c r="K1" s="863"/>
      <c r="L1" s="863"/>
      <c r="M1" s="863"/>
      <c r="N1" s="863"/>
      <c r="O1" s="863"/>
      <c r="P1" s="863"/>
      <c r="Q1" s="863"/>
      <c r="R1" s="863"/>
    </row>
    <row r="2" spans="1:20">
      <c r="A2" s="865" t="s">
        <v>208</v>
      </c>
      <c r="B2" s="865"/>
      <c r="C2" s="865"/>
      <c r="D2" s="865"/>
      <c r="E2" s="865"/>
      <c r="F2" s="865"/>
      <c r="G2" s="865"/>
      <c r="H2" s="865"/>
      <c r="I2" s="865"/>
      <c r="J2" s="865"/>
      <c r="K2" s="865"/>
      <c r="L2" s="865"/>
      <c r="M2" s="865"/>
      <c r="N2" s="865"/>
      <c r="O2" s="865"/>
      <c r="P2" s="865"/>
      <c r="Q2" s="865"/>
      <c r="R2" s="865"/>
    </row>
    <row r="3" spans="1:20">
      <c r="A3" s="865"/>
      <c r="B3" s="865"/>
      <c r="C3" s="865"/>
      <c r="D3" s="865"/>
      <c r="E3" s="865"/>
      <c r="F3" s="865"/>
      <c r="G3" s="865"/>
      <c r="H3" s="865"/>
      <c r="I3" s="865"/>
      <c r="J3" s="865"/>
      <c r="K3" s="865"/>
      <c r="L3" s="865"/>
      <c r="M3" s="865"/>
      <c r="N3" s="865"/>
      <c r="O3" s="865"/>
      <c r="P3" s="865"/>
      <c r="Q3" s="865"/>
      <c r="R3" s="865"/>
    </row>
    <row r="4" spans="1:20" ht="15" customHeight="1">
      <c r="A4" s="865"/>
      <c r="B4" s="865"/>
      <c r="C4" s="865"/>
      <c r="D4" s="865"/>
      <c r="E4" s="865"/>
      <c r="F4" s="865"/>
      <c r="G4" s="865"/>
      <c r="H4" s="865"/>
      <c r="I4" s="865"/>
      <c r="J4" s="865"/>
      <c r="K4" s="865"/>
      <c r="L4" s="865"/>
      <c r="M4" s="865"/>
      <c r="N4" s="865"/>
      <c r="O4" s="865"/>
      <c r="P4" s="865"/>
      <c r="Q4" s="865"/>
      <c r="R4" s="865"/>
      <c r="S4" s="53"/>
      <c r="T4" s="53"/>
    </row>
    <row r="5" spans="1:20" ht="15.75" thickBot="1">
      <c r="A5" s="861"/>
      <c r="B5" s="861"/>
      <c r="C5" s="861"/>
      <c r="D5" s="861"/>
      <c r="E5" s="861"/>
      <c r="F5" s="861"/>
      <c r="G5" s="861"/>
      <c r="H5" s="861"/>
      <c r="I5" s="861"/>
      <c r="J5" s="861"/>
      <c r="K5" s="861"/>
      <c r="L5" s="861"/>
      <c r="M5" s="861"/>
      <c r="N5" s="861"/>
      <c r="O5" s="861"/>
      <c r="P5" s="861"/>
      <c r="Q5" s="861"/>
      <c r="R5" s="861"/>
    </row>
    <row r="6" spans="1:20" ht="15.75" thickBot="1">
      <c r="A6" s="861"/>
      <c r="B6" s="861"/>
      <c r="C6" s="59" t="s">
        <v>150</v>
      </c>
      <c r="D6" s="60" t="s">
        <v>94</v>
      </c>
      <c r="E6" s="60" t="s">
        <v>94</v>
      </c>
      <c r="F6" s="60" t="s">
        <v>151</v>
      </c>
      <c r="G6" s="60" t="s">
        <v>152</v>
      </c>
      <c r="H6" s="61" t="s">
        <v>153</v>
      </c>
      <c r="I6" s="62" t="s">
        <v>96</v>
      </c>
      <c r="J6" s="870"/>
      <c r="K6" s="867" t="str">
        <f>IF(C8&lt;&gt;"","Maintenant, choississez un carré de 9 nombres (3*3)","")</f>
        <v/>
      </c>
      <c r="L6" s="867"/>
      <c r="M6" s="867"/>
      <c r="N6" s="867"/>
      <c r="O6" s="867"/>
      <c r="P6" s="871" t="str">
        <f>IF(K6="","","voir un exemple (O/N)")</f>
        <v/>
      </c>
      <c r="Q6" s="871"/>
      <c r="R6" s="278"/>
    </row>
    <row r="7" spans="1:20">
      <c r="A7" s="861"/>
      <c r="B7" s="861"/>
      <c r="C7" s="63"/>
      <c r="D7" s="64"/>
      <c r="E7" s="64"/>
      <c r="F7" s="64"/>
      <c r="G7" s="64"/>
      <c r="H7" s="65"/>
      <c r="I7" s="70"/>
      <c r="J7" s="870"/>
      <c r="K7" s="866" t="str">
        <f>IF(AND(K6&lt;&gt;"",K8&lt;&gt;""),"Modifier votre saisie ci contre &gt;&gt;",IF(K6&lt;&gt;"","Le choix est fait ? Indiquez-moi le premier nombre ci-contre ==&gt;",""))</f>
        <v/>
      </c>
      <c r="L7" s="866"/>
      <c r="M7" s="866"/>
      <c r="N7" s="866"/>
      <c r="O7" s="866"/>
      <c r="P7" s="278"/>
      <c r="Q7" s="872" t="str">
        <f>IF(R6="oui","&lt;&lt; inscrire le "&amp;D8&amp;" ici","")</f>
        <v/>
      </c>
      <c r="R7" s="872"/>
    </row>
    <row r="8" spans="1:20" ht="15.75">
      <c r="A8" s="861"/>
      <c r="B8" s="861"/>
      <c r="C8" s="54"/>
      <c r="D8" s="55"/>
      <c r="E8" s="55"/>
      <c r="F8" s="55"/>
      <c r="G8" s="55"/>
      <c r="H8" s="66"/>
      <c r="I8" s="67"/>
      <c r="J8" s="870"/>
      <c r="K8" s="869" t="str">
        <f>IF(K6="","",IF(P7="","",IF(OR(P7=0,P7+8=C8,P7+8=I8,P7+8=C9,P7+8=I9,P7+8=C10,P7+8=I10,P7+8=C11,P7+8=D11,P7+8=E11,P7+8=F11,P7+8=G11,P7+8=H11,P7+8=I11,P7+16&gt;31,AND(P7=C9,E11=""),AND(P7=D9,F11=""),AND(P7=E9,G11=""),AND(P7=F9,H11=""),AND(P7=G9,I11=""),AND(OR(P7=1,P7=2),OR(H7=1,I7=1))),"# Erreur # Il semblerait que vous n'avez pas choisi un carré de 9 nombres (3*3) !","")))</f>
        <v/>
      </c>
      <c r="L8" s="869"/>
      <c r="M8" s="869"/>
      <c r="N8" s="869"/>
      <c r="O8" s="869"/>
      <c r="P8" s="869"/>
      <c r="Q8" s="869"/>
      <c r="R8" s="869"/>
    </row>
    <row r="9" spans="1:20" ht="15.75">
      <c r="A9" s="861"/>
      <c r="B9" s="861"/>
      <c r="C9" s="54"/>
      <c r="D9" s="55"/>
      <c r="E9" s="55"/>
      <c r="F9" s="55"/>
      <c r="G9" s="55"/>
      <c r="H9" s="66"/>
      <c r="I9" s="67"/>
      <c r="J9" s="870"/>
      <c r="K9" s="868" t="str">
        <f>IF(K8="",IF(P7="","","Maintenant additionnez les !  Voir le résultat en clair ? =======&gt;"),"")</f>
        <v/>
      </c>
      <c r="L9" s="868"/>
      <c r="M9" s="868"/>
      <c r="N9" s="868"/>
      <c r="O9" s="868"/>
      <c r="P9" s="279" t="str">
        <f>IF(Q9="oui",IF(K9="","",(P7+8)*9),"")</f>
        <v/>
      </c>
      <c r="Q9" s="278"/>
      <c r="R9" s="280"/>
    </row>
    <row r="10" spans="1:20">
      <c r="A10" s="861"/>
      <c r="B10" s="861"/>
      <c r="C10" s="54"/>
      <c r="D10" s="55"/>
      <c r="E10" s="55"/>
      <c r="F10" s="55"/>
      <c r="G10" s="55"/>
      <c r="H10" s="66"/>
      <c r="I10" s="67"/>
      <c r="J10" s="870"/>
      <c r="K10" s="859" t="str">
        <f>IF(P9="","","Le but étant d'être plus rapide que moi, mais c'est déjà trop tard pour vous :D !
BONUS -- je vous rélève comment je fais ! Alors prenez des notes ;-) ! ")</f>
        <v/>
      </c>
      <c r="L10" s="859"/>
      <c r="M10" s="859"/>
      <c r="N10" s="859"/>
      <c r="O10" s="859"/>
      <c r="P10" s="859"/>
      <c r="Q10" s="859"/>
      <c r="R10" s="859"/>
    </row>
    <row r="11" spans="1:20" ht="15.75" thickBot="1">
      <c r="A11" s="861"/>
      <c r="B11" s="861"/>
      <c r="C11" s="56"/>
      <c r="D11" s="57"/>
      <c r="E11" s="57"/>
      <c r="F11" s="57"/>
      <c r="G11" s="57"/>
      <c r="H11" s="68"/>
      <c r="I11" s="69"/>
      <c r="J11" s="870"/>
      <c r="K11" s="859"/>
      <c r="L11" s="859"/>
      <c r="M11" s="859"/>
      <c r="N11" s="859"/>
      <c r="O11" s="859"/>
      <c r="P11" s="859"/>
      <c r="Q11" s="859"/>
      <c r="R11" s="859"/>
    </row>
    <row r="12" spans="1:20">
      <c r="A12" s="861"/>
      <c r="B12" s="861"/>
      <c r="C12" s="862" t="str">
        <f>IF(AND(K8="",R6="oui"),"Ici, il faut retenir comme 1er nombre le : "&amp;D8&amp;".",IF(K8="","","Ceci est un exemple, indiquez le: "&amp;G8))</f>
        <v/>
      </c>
      <c r="D12" s="862"/>
      <c r="E12" s="862"/>
      <c r="F12" s="862"/>
      <c r="G12" s="862"/>
      <c r="H12" s="862"/>
      <c r="I12" s="862"/>
      <c r="J12" s="861"/>
      <c r="K12" s="861"/>
      <c r="L12" s="861"/>
      <c r="M12" s="861"/>
      <c r="N12" s="861"/>
      <c r="O12" s="861"/>
      <c r="P12" s="861"/>
      <c r="Q12" s="861"/>
      <c r="R12" s="861"/>
    </row>
    <row r="13" spans="1:20" ht="15" customHeight="1">
      <c r="A13" s="861"/>
      <c r="B13" s="861"/>
      <c r="C13" s="864" t="str">
        <f>IF(P9="","","Facile face à un ordinateur vous vous dites !! Tout est préprogrammé…  Maintenant défiez votre famille et vos ami(e)s.                                                                                                                      "&amp;
"                   Donnez leur le choix du calendrier et une calculatrice. Et pour vous, uniquement votre tête (un simple calcul mental et le tour est joué).
La solution du tour est simple, il suffit de multiplier par 9 le nombre central du carré choisi !"&amp;" 
                                                                 et dans votre cas :        9 * "&amp;P7+8&amp;"       ( ou 10 * "&amp;P7+8&amp;" - "&amp;P7+8&amp;" )        =      "&amp;P9)</f>
        <v/>
      </c>
      <c r="D13" s="864"/>
      <c r="E13" s="864"/>
      <c r="F13" s="864"/>
      <c r="G13" s="864"/>
      <c r="H13" s="864"/>
      <c r="I13" s="864"/>
      <c r="J13" s="864"/>
      <c r="K13" s="864"/>
      <c r="L13" s="864"/>
      <c r="M13" s="864"/>
      <c r="N13" s="864"/>
      <c r="O13" s="864"/>
      <c r="P13" s="864"/>
      <c r="Q13" s="864"/>
      <c r="R13" s="864"/>
    </row>
    <row r="14" spans="1:20" ht="15" customHeight="1">
      <c r="A14" s="861"/>
      <c r="B14" s="861"/>
      <c r="C14" s="864"/>
      <c r="D14" s="864"/>
      <c r="E14" s="864"/>
      <c r="F14" s="864"/>
      <c r="G14" s="864"/>
      <c r="H14" s="864"/>
      <c r="I14" s="864"/>
      <c r="J14" s="864"/>
      <c r="K14" s="864"/>
      <c r="L14" s="864"/>
      <c r="M14" s="864"/>
      <c r="N14" s="864"/>
      <c r="O14" s="864"/>
      <c r="P14" s="864"/>
      <c r="Q14" s="864"/>
      <c r="R14" s="864"/>
    </row>
    <row r="15" spans="1:20">
      <c r="A15" s="861"/>
      <c r="B15" s="861"/>
      <c r="C15" s="864"/>
      <c r="D15" s="864"/>
      <c r="E15" s="864"/>
      <c r="F15" s="864"/>
      <c r="G15" s="864"/>
      <c r="H15" s="864"/>
      <c r="I15" s="864"/>
      <c r="J15" s="864"/>
      <c r="K15" s="864"/>
      <c r="L15" s="864"/>
      <c r="M15" s="864"/>
      <c r="N15" s="864"/>
      <c r="O15" s="864"/>
      <c r="P15" s="864"/>
      <c r="Q15" s="864"/>
      <c r="R15" s="864"/>
    </row>
    <row r="16" spans="1:20">
      <c r="A16" s="860" t="str">
        <f>IF(K6="","","Vous avez choisi de débuter votre mois par un "&amp;IF(C7=1,"Lundi,",IF(D7=1,"Mardi,",IF(E7=1,"Mercredi,",IF(F7=1,"Jeudi,",IF(G7=1,"Vendredi,",IF(H7=1,"Samedi,",IF(I7=1,"Dimanche,","")))))))&amp;IF(I7=1,"
vous pouvez maintenant choisir de supprimer ou non le nombre final (29).","
vous pouvez maintenant choisir de supprimer ou non un ou plusieurs nombres finaux ("&amp;IF(H7=1,"29 ou 30).","29, 30 ou 31).")))</f>
        <v/>
      </c>
      <c r="B16" s="860"/>
      <c r="C16" s="864"/>
      <c r="D16" s="864"/>
      <c r="E16" s="864"/>
      <c r="F16" s="864"/>
      <c r="G16" s="864"/>
      <c r="H16" s="864"/>
      <c r="I16" s="864"/>
      <c r="J16" s="864"/>
      <c r="K16" s="864"/>
      <c r="L16" s="864"/>
      <c r="M16" s="864"/>
      <c r="N16" s="864"/>
      <c r="O16" s="864"/>
      <c r="P16" s="864"/>
      <c r="Q16" s="864"/>
      <c r="R16" s="864"/>
    </row>
    <row r="17" spans="1:18" ht="15" customHeight="1">
      <c r="A17" s="860"/>
      <c r="B17" s="860"/>
      <c r="C17" s="858" t="str">
        <f>IF(C13="","","Besoin d'aide sur la Table de 9 ?      Découvrez une astuce ici !")</f>
        <v/>
      </c>
      <c r="D17" s="858"/>
      <c r="E17" s="858"/>
      <c r="F17" s="858"/>
      <c r="G17" s="858"/>
      <c r="H17" s="858"/>
      <c r="I17" s="858"/>
      <c r="J17" s="858"/>
      <c r="K17" s="858"/>
      <c r="L17" s="858"/>
      <c r="M17" s="858"/>
      <c r="N17" s="858"/>
      <c r="O17" s="858"/>
      <c r="P17" s="858"/>
      <c r="Q17" s="858"/>
      <c r="R17" s="858"/>
    </row>
    <row r="18" spans="1:18">
      <c r="A18" s="860"/>
      <c r="B18" s="860"/>
      <c r="C18" s="858"/>
      <c r="D18" s="858"/>
      <c r="E18" s="858"/>
      <c r="F18" s="858"/>
      <c r="G18" s="858"/>
      <c r="H18" s="858"/>
      <c r="I18" s="858"/>
      <c r="J18" s="858"/>
      <c r="K18" s="858"/>
      <c r="L18" s="858"/>
      <c r="M18" s="858"/>
      <c r="N18" s="858"/>
      <c r="O18" s="858"/>
      <c r="P18" s="858"/>
      <c r="Q18" s="858"/>
      <c r="R18" s="858"/>
    </row>
  </sheetData>
  <sheetProtection password="8B0A" sheet="1" objects="1" scenarios="1"/>
  <mergeCells count="17">
    <mergeCell ref="A1:R1"/>
    <mergeCell ref="C13:R16"/>
    <mergeCell ref="A2:R4"/>
    <mergeCell ref="K7:O7"/>
    <mergeCell ref="K6:O6"/>
    <mergeCell ref="K9:O9"/>
    <mergeCell ref="K8:R8"/>
    <mergeCell ref="A5:B15"/>
    <mergeCell ref="C5:R5"/>
    <mergeCell ref="J6:J11"/>
    <mergeCell ref="P6:Q6"/>
    <mergeCell ref="Q7:R7"/>
    <mergeCell ref="C17:R18"/>
    <mergeCell ref="K10:R11"/>
    <mergeCell ref="A16:B18"/>
    <mergeCell ref="J12:R12"/>
    <mergeCell ref="C12:I12"/>
  </mergeCells>
  <conditionalFormatting sqref="P7">
    <cfRule type="expression" dxfId="189" priority="47">
      <formula>$K$7&lt;&gt;""</formula>
    </cfRule>
  </conditionalFormatting>
  <conditionalFormatting sqref="R6">
    <cfRule type="expression" dxfId="188" priority="46">
      <formula>$P$6&lt;&gt;""</formula>
    </cfRule>
    <cfRule type="expression" dxfId="187" priority="20">
      <formula>$K$8&lt;&gt;""</formula>
    </cfRule>
  </conditionalFormatting>
  <conditionalFormatting sqref="D8:F10">
    <cfRule type="expression" dxfId="186" priority="45">
      <formula>OR($R$6="O",$R$6="oui",$R$6="v",$R$6="yes")</formula>
    </cfRule>
  </conditionalFormatting>
  <conditionalFormatting sqref="K10">
    <cfRule type="expression" dxfId="185" priority="44">
      <formula>$K$10&lt;&gt;""</formula>
    </cfRule>
  </conditionalFormatting>
  <conditionalFormatting sqref="C8:C10">
    <cfRule type="expression" dxfId="184" priority="43" stopIfTrue="1">
      <formula>AND($K$8="",$P$7&lt;&gt;"",$P$7+8=C8)</formula>
    </cfRule>
  </conditionalFormatting>
  <conditionalFormatting sqref="D8:H10">
    <cfRule type="expression" dxfId="183" priority="42">
      <formula>AND($K$8="",$Q$9="Oui",$P$7&lt;&gt;"",$P$7+8=D8)</formula>
    </cfRule>
  </conditionalFormatting>
  <conditionalFormatting sqref="C12 K8 P6">
    <cfRule type="expression" dxfId="182" priority="22">
      <formula>$K$8&lt;&gt;""</formula>
    </cfRule>
  </conditionalFormatting>
  <conditionalFormatting sqref="G8:I10">
    <cfRule type="expression" dxfId="181" priority="21">
      <formula>$K$8&lt;&gt;""</formula>
    </cfRule>
  </conditionalFormatting>
  <conditionalFormatting sqref="C11">
    <cfRule type="expression" dxfId="180" priority="19">
      <formula>OR($C$11=29,$C$11=30,$C$11=31)</formula>
    </cfRule>
    <cfRule type="expression" dxfId="179" priority="12">
      <formula>AND($C$9=$P$7,$C$11="")</formula>
    </cfRule>
  </conditionalFormatting>
  <conditionalFormatting sqref="D11">
    <cfRule type="expression" dxfId="178" priority="18">
      <formula>OR($D$11=29,$D$11=30,$D$11=31)</formula>
    </cfRule>
    <cfRule type="expression" dxfId="177" priority="11">
      <formula>AND(OR($C$9=$P$7,$P$7=$D$9),$D$11="")</formula>
    </cfRule>
  </conditionalFormatting>
  <conditionalFormatting sqref="E11">
    <cfRule type="expression" dxfId="176" priority="17">
      <formula>OR($E$11=29,$E$11=30,$E$11=31)</formula>
    </cfRule>
    <cfRule type="expression" dxfId="175" priority="10">
      <formula>AND(OR($C$9=$P$7,$P$7=$D$9,$P$7=$E$9),$E$11="")</formula>
    </cfRule>
  </conditionalFormatting>
  <conditionalFormatting sqref="F11">
    <cfRule type="expression" dxfId="174" priority="16">
      <formula>OR($F$11=29,$F$11=30,$F$11=31)</formula>
    </cfRule>
    <cfRule type="expression" dxfId="173" priority="9">
      <formula>AND(OR($D$9=$P$7,$P$7=$E$9,$P$7=$F$9),$F$11="")</formula>
    </cfRule>
  </conditionalFormatting>
  <conditionalFormatting sqref="G11">
    <cfRule type="expression" dxfId="172" priority="15">
      <formula>OR($G$11=29,$G$11=30,$G$11=31)</formula>
    </cfRule>
    <cfRule type="expression" dxfId="171" priority="8">
      <formula>AND(OR($E$9=$P$7,$P$7=$F$9,$P$7=$G$9),$G$11="")</formula>
    </cfRule>
  </conditionalFormatting>
  <conditionalFormatting sqref="H11">
    <cfRule type="expression" dxfId="170" priority="14">
      <formula>OR($H$11=29,$H$11=30,$H$11=31)</formula>
    </cfRule>
    <cfRule type="expression" dxfId="169" priority="7">
      <formula>AND(OR($F$9=$P$7,$P$7=$G$9,$P$7=$H$9),$H$11="")</formula>
    </cfRule>
  </conditionalFormatting>
  <conditionalFormatting sqref="I11">
    <cfRule type="expression" dxfId="168" priority="13">
      <formula>OR($I$11=29,$I$11=30,$I$11=31)</formula>
    </cfRule>
    <cfRule type="expression" dxfId="167" priority="6">
      <formula>AND(OR($G$9=$P$7,$P$7=$H$9,$P$7=$I$9),$I$11="")</formula>
    </cfRule>
  </conditionalFormatting>
  <conditionalFormatting sqref="C11:G11">
    <cfRule type="expression" dxfId="166" priority="5">
      <formula>$P$7=""</formula>
    </cfRule>
  </conditionalFormatting>
  <conditionalFormatting sqref="H11:I11">
    <cfRule type="expression" dxfId="165" priority="4">
      <formula>$P$7=""</formula>
    </cfRule>
  </conditionalFormatting>
  <conditionalFormatting sqref="Q9">
    <cfRule type="expression" dxfId="164" priority="3">
      <formula>$K$9&lt;&gt;""</formula>
    </cfRule>
  </conditionalFormatting>
  <conditionalFormatting sqref="K7:O7">
    <cfRule type="expression" dxfId="163" priority="1">
      <formula>$K$7="Modifier votre saisie ci contre &gt;&gt;"</formula>
    </cfRule>
  </conditionalFormatting>
  <dataValidations count="1">
    <dataValidation type="list" allowBlank="1" showInputMessage="1" showErrorMessage="1" sqref="R6 Q9">
      <formula1>"Oui,Non"</formula1>
    </dataValidation>
  </dataValidations>
  <pageMargins left="0.7" right="0.7"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sheetPr codeName="Feuil17"/>
  <dimension ref="A1:D30"/>
  <sheetViews>
    <sheetView showGridLines="0" showRowColHeaders="0" workbookViewId="0">
      <selection activeCell="A3" sqref="A3:D3"/>
    </sheetView>
  </sheetViews>
  <sheetFormatPr baseColWidth="10" defaultColWidth="0" defaultRowHeight="15" zeroHeight="1"/>
  <cols>
    <col min="1" max="1" width="4.28515625" style="193" customWidth="1"/>
    <col min="2" max="2" width="6" style="193" customWidth="1"/>
    <col min="3" max="3" width="88.85546875" style="193" customWidth="1"/>
    <col min="4" max="4" width="32.5703125" style="193" customWidth="1"/>
    <col min="5" max="16384" width="11.42578125" style="193" hidden="1"/>
  </cols>
  <sheetData>
    <row r="1" spans="1:4" ht="33" customHeight="1">
      <c r="A1" s="876" t="s">
        <v>217</v>
      </c>
      <c r="B1" s="876"/>
      <c r="C1" s="876"/>
      <c r="D1" s="876"/>
    </row>
    <row r="2" spans="1:4">
      <c r="A2" s="874" t="s">
        <v>212</v>
      </c>
      <c r="B2" s="874"/>
      <c r="C2" s="874"/>
      <c r="D2" s="874"/>
    </row>
    <row r="3" spans="1:4">
      <c r="A3" s="874" t="s">
        <v>213</v>
      </c>
      <c r="B3" s="874"/>
      <c r="C3" s="874"/>
      <c r="D3" s="874"/>
    </row>
    <row r="4" spans="1:4">
      <c r="B4" s="194"/>
    </row>
    <row r="5" spans="1:4">
      <c r="B5" s="195">
        <v>1</v>
      </c>
      <c r="C5" s="415" t="str">
        <f>IF(PARA!B3="","Comment t'appelles-tu ?",PARA!B3&amp;", c'est vraiment ton prénom ?? …. Allez dis-moi comment tu t'appelles ?")</f>
        <v>Comment t'appelles-tu ?</v>
      </c>
      <c r="D5" s="197"/>
    </row>
    <row r="6" spans="1:4">
      <c r="B6" s="195" t="str">
        <f>IF(D5="","",2)</f>
        <v/>
      </c>
      <c r="C6" s="196" t="str">
        <f>IF(B6="","","Aimes-tu les bonnes choses ?")</f>
        <v/>
      </c>
      <c r="D6" s="197"/>
    </row>
    <row r="7" spans="1:4">
      <c r="B7" s="195" t="str">
        <f>IF(D6="","",3)</f>
        <v/>
      </c>
      <c r="C7" s="196" t="str">
        <f>IF(B7="","","Donnes un prénom (masculin ou féminin).")</f>
        <v/>
      </c>
      <c r="D7" s="197"/>
    </row>
    <row r="8" spans="1:4">
      <c r="B8" s="195" t="str">
        <f>IF(D7="","",4)</f>
        <v/>
      </c>
      <c r="C8" s="196" t="str">
        <f>IF(B8="","","Donnes un nombre (supérieur ou égal à 10).")</f>
        <v/>
      </c>
      <c r="D8" s="198"/>
    </row>
    <row r="9" spans="1:4">
      <c r="B9" s="195" t="str">
        <f>IF(D8="","",5)</f>
        <v/>
      </c>
      <c r="C9" s="196" t="str">
        <f>IF(B9="","","Donnes l'endroit du corps humain que tu préfères.")</f>
        <v/>
      </c>
      <c r="D9" s="197"/>
    </row>
    <row r="10" spans="1:4">
      <c r="B10" s="195" t="str">
        <f>IF(D9="","",6)</f>
        <v/>
      </c>
      <c r="C10" s="196" t="str">
        <f>IF(B10="","","Aimerais-tu être en vacances ?")</f>
        <v/>
      </c>
      <c r="D10" s="197"/>
    </row>
    <row r="11" spans="1:4">
      <c r="B11" s="195" t="str">
        <f>IF(D10="","",7)</f>
        <v/>
      </c>
      <c r="C11" s="196" t="str">
        <f>IF(B11="","","Donnes une couleur.")</f>
        <v/>
      </c>
      <c r="D11" s="197"/>
    </row>
    <row r="12" spans="1:4">
      <c r="B12" s="195" t="str">
        <f>IF(D11="","",8)</f>
        <v/>
      </c>
      <c r="C12" s="196" t="str">
        <f>IF(B12="","","Donnes un nom d'animal.")</f>
        <v/>
      </c>
      <c r="D12" s="197"/>
    </row>
    <row r="13" spans="1:4">
      <c r="B13" s="195" t="str">
        <f>IF(D12="","",9)</f>
        <v/>
      </c>
      <c r="C13" s="196" t="str">
        <f>IF(B13="","","Aimes-tu faire la fête ?")</f>
        <v/>
      </c>
      <c r="D13" s="197"/>
    </row>
    <row r="14" spans="1:4">
      <c r="B14" s="195" t="str">
        <f>IF(D13="","",10)</f>
        <v/>
      </c>
      <c r="C14" s="196" t="str">
        <f>IF(B14="","","Donnes un autre prénom (masculin ou féminin, et différent de "&amp;D7&amp;").")</f>
        <v/>
      </c>
      <c r="D14" s="197"/>
    </row>
    <row r="15" spans="1:4">
      <c r="B15" s="195" t="str">
        <f>IF(D14="","",11)</f>
        <v/>
      </c>
      <c r="C15" s="196" t="str">
        <f>IF(B15="","","Donnes ton N° de maison/appartement. Si tu n'en as pas, donnes ton chiffre (entre 0 et 9) fétiche.")</f>
        <v/>
      </c>
      <c r="D15" s="198"/>
    </row>
    <row r="16" spans="1:4">
      <c r="B16" s="195" t="str">
        <f>IF(D15="","",12)</f>
        <v/>
      </c>
      <c r="C16" s="196" t="str">
        <f>IF(B16="","","Aimes-tu te divertir ?")</f>
        <v/>
      </c>
      <c r="D16" s="197"/>
    </row>
    <row r="17" spans="1:4">
      <c r="B17" s="195" t="str">
        <f>IF(D16="","",13)</f>
        <v/>
      </c>
      <c r="C17" s="196" t="str">
        <f>IF(B17="","","Donnes un 3ème prénom (masculin ou féminin, et différent de "&amp;D7&amp;" et de "&amp;D14&amp;").")</f>
        <v/>
      </c>
      <c r="D17" s="197"/>
    </row>
    <row r="18" spans="1:4">
      <c r="B18" s="195" t="str">
        <f>IF(D17="","",14)</f>
        <v/>
      </c>
      <c r="C18" s="196" t="str">
        <f>IF(B18="","",IF(PARA!B6="","Donnes la date la plus importante de ta vie.","Donnes la date la plus importante de ta vie. D'ailleurs, il s'agit peut-être du "&amp;DAY(PARA!B6)&amp;"/"&amp;MONTH(PARA!B6)&amp;"/"&amp;YEAR(PARA!B6)&amp;"."))</f>
        <v/>
      </c>
      <c r="D18" s="199"/>
    </row>
    <row r="19" spans="1:4">
      <c r="B19" s="195" t="str">
        <f>IF(D18="","",15)</f>
        <v/>
      </c>
      <c r="C19" s="196" t="str">
        <f>IF(B19="","","Donnes le nom d'un meuble ou d'un appareil éléctroménager.")</f>
        <v/>
      </c>
      <c r="D19" s="197"/>
    </row>
    <row r="20" spans="1:4">
      <c r="B20" s="195" t="str">
        <f>IF(D19="","",16)</f>
        <v/>
      </c>
      <c r="C20" s="196" t="str">
        <f>IF(B20="","","Donnes un endroit, lieu ou pièce de vie au hasard, ou que tu aimes bien voire que tu préfères!")</f>
        <v/>
      </c>
      <c r="D20" s="197"/>
    </row>
    <row r="21" spans="1:4">
      <c r="B21" s="195" t="str">
        <f>IF(D20="","",17)</f>
        <v/>
      </c>
      <c r="C21" s="196" t="str">
        <f>IF(B21="","","Donnes un synonyme d'enfant.")</f>
        <v/>
      </c>
      <c r="D21" s="197"/>
    </row>
    <row r="22" spans="1:4">
      <c r="B22" s="195" t="str">
        <f>IF(D21="","",18)</f>
        <v/>
      </c>
      <c r="C22" s="196" t="str">
        <f>IF(B22="","","Donnes un dernier prénom (masculin ou féminin, et différent de "&amp;D7&amp;", "&amp;D14&amp;" et de "&amp;D17&amp;").")</f>
        <v/>
      </c>
      <c r="D22" s="197"/>
    </row>
    <row r="23" spans="1:4">
      <c r="B23" s="195" t="str">
        <f>IF(D22="","",19)</f>
        <v/>
      </c>
      <c r="C23" s="196" t="str">
        <f>IF(B23="","","Aimes tu êtres avec tes ami(e)s ?")</f>
        <v/>
      </c>
      <c r="D23" s="197"/>
    </row>
    <row r="24" spans="1:4">
      <c r="B24" s="195" t="str">
        <f>IF(D23="","",20)</f>
        <v/>
      </c>
      <c r="C24" s="196" t="str">
        <f>IF(B24="","","Pourquoi ?")</f>
        <v/>
      </c>
      <c r="D24" s="197"/>
    </row>
    <row r="25" spans="1:4">
      <c r="A25" s="873"/>
      <c r="B25" s="873"/>
      <c r="C25" s="873"/>
      <c r="D25" s="873"/>
    </row>
    <row r="26" spans="1:4">
      <c r="A26" s="873"/>
      <c r="B26" s="873"/>
      <c r="C26" s="873"/>
      <c r="D26" s="873"/>
    </row>
    <row r="27" spans="1:4">
      <c r="A27" s="874" t="str">
        <f>IF(AND(D24&lt;&gt;"",OR(D5="",D6="",D7="",D8="",D9="",D10="",D11="",D12="",D13="",D14="",D15="",D16="",D17="",D18="",D19="",D20="",D21="",D22="",D23="")),"Il semblerait que toutes vos réponses n'ont pas été saisies...",IF(D24="","","Bien, à présent voyons voir ce que tu as voulu me cacher depuis tout ce temps….."))</f>
        <v/>
      </c>
      <c r="B27" s="874"/>
      <c r="C27" s="874"/>
      <c r="D27" s="874"/>
    </row>
    <row r="28" spans="1:4" ht="15.75">
      <c r="A28" s="875" t="str">
        <f>IF(OR(A27="",A27="Il semblerait que toutes vos réponses n'ont pas été saisies..."),"","CLIQUES ICI")</f>
        <v/>
      </c>
      <c r="B28" s="875"/>
      <c r="C28" s="875"/>
      <c r="D28" s="875"/>
    </row>
    <row r="29" spans="1:4">
      <c r="A29" s="873"/>
      <c r="B29" s="873"/>
      <c r="C29" s="873"/>
      <c r="D29" s="873"/>
    </row>
    <row r="30" spans="1:4" hidden="1"/>
  </sheetData>
  <sheetProtection password="8B0A" sheet="1" objects="1" scenarios="1"/>
  <mergeCells count="7">
    <mergeCell ref="A29:D29"/>
    <mergeCell ref="A25:D26"/>
    <mergeCell ref="A27:D27"/>
    <mergeCell ref="A28:D28"/>
    <mergeCell ref="A1:D1"/>
    <mergeCell ref="A3:D3"/>
    <mergeCell ref="A2:D2"/>
  </mergeCells>
  <conditionalFormatting sqref="D5">
    <cfRule type="expression" dxfId="162" priority="44">
      <formula>$D$5=""</formula>
    </cfRule>
    <cfRule type="expression" dxfId="161" priority="19">
      <formula>AND($D$5="",$A$27="Il semblerait que toutes vos réponses n'ont pas été saisies...")</formula>
    </cfRule>
  </conditionalFormatting>
  <conditionalFormatting sqref="D6">
    <cfRule type="expression" dxfId="160" priority="43">
      <formula>AND($D$5&lt;&gt;"",$D$6="")</formula>
    </cfRule>
    <cfRule type="expression" dxfId="159" priority="18">
      <formula>AND($D$6="",$A$27="Il semblerait que toutes vos réponses n'ont pas été saisies...")</formula>
    </cfRule>
  </conditionalFormatting>
  <conditionalFormatting sqref="D7">
    <cfRule type="expression" dxfId="158" priority="38">
      <formula>AND($D$6&lt;&gt;"",$D$7="")</formula>
    </cfRule>
    <cfRule type="expression" dxfId="157" priority="17">
      <formula>AND($D$7="",$A$27="Il semblerait que toutes vos réponses n'ont pas été saisies...")</formula>
    </cfRule>
  </conditionalFormatting>
  <conditionalFormatting sqref="D8">
    <cfRule type="expression" dxfId="156" priority="37">
      <formula>AND($D$7&lt;&gt;"",$D$8="")</formula>
    </cfRule>
    <cfRule type="expression" dxfId="155" priority="16">
      <formula>AND($D$8="",$A$27="Il semblerait que toutes vos réponses n'ont pas été saisies...")</formula>
    </cfRule>
  </conditionalFormatting>
  <conditionalFormatting sqref="D9">
    <cfRule type="expression" dxfId="154" priority="36">
      <formula>AND($D$8&lt;&gt;"",$D$9="")</formula>
    </cfRule>
    <cfRule type="expression" dxfId="153" priority="15">
      <formula>AND($D$9="",$A$27="Il semblerait que toutes vos réponses n'ont pas été saisies...")</formula>
    </cfRule>
  </conditionalFormatting>
  <conditionalFormatting sqref="D10">
    <cfRule type="expression" dxfId="152" priority="35">
      <formula>AND($D$9&lt;&gt;"",$D$10="")</formula>
    </cfRule>
    <cfRule type="expression" dxfId="151" priority="14">
      <formula>AND($D$10="",$A$27="Il semblerait que toutes vos réponses n'ont pas été saisies...")</formula>
    </cfRule>
  </conditionalFormatting>
  <conditionalFormatting sqref="D11">
    <cfRule type="expression" dxfId="150" priority="34">
      <formula>AND($D$10&lt;&gt;"",$D$11="")</formula>
    </cfRule>
    <cfRule type="expression" dxfId="149" priority="13">
      <formula>AND($D$11="",$A$27="Il semblerait que toutes vos réponses n'ont pas été saisies...")</formula>
    </cfRule>
  </conditionalFormatting>
  <conditionalFormatting sqref="D12">
    <cfRule type="expression" dxfId="148" priority="33">
      <formula>AND($D$11&lt;&gt;"",$D$12="")</formula>
    </cfRule>
    <cfRule type="expression" dxfId="147" priority="12">
      <formula>AND($D$12="",$A$27="Il semblerait que toutes vos réponses n'ont pas été saisies...")</formula>
    </cfRule>
  </conditionalFormatting>
  <conditionalFormatting sqref="D13">
    <cfRule type="expression" dxfId="146" priority="32">
      <formula>AND($D$12&lt;&gt;"",$D$13="")</formula>
    </cfRule>
    <cfRule type="expression" dxfId="145" priority="11">
      <formula>AND($D$13="",$A$27="Il semblerait que toutes vos réponses n'ont pas été saisies...")</formula>
    </cfRule>
  </conditionalFormatting>
  <conditionalFormatting sqref="D14">
    <cfRule type="expression" dxfId="144" priority="31">
      <formula>AND($D$13&lt;&gt;"",$D$14="")</formula>
    </cfRule>
    <cfRule type="expression" dxfId="143" priority="10">
      <formula>AND($D$14="",$A$27="Il semblerait que toutes vos réponses n'ont pas été saisies...")</formula>
    </cfRule>
  </conditionalFormatting>
  <conditionalFormatting sqref="D15">
    <cfRule type="expression" dxfId="142" priority="30">
      <formula>AND($D$14&lt;&gt;"",$D$15="")</formula>
    </cfRule>
    <cfRule type="expression" dxfId="141" priority="9">
      <formula>AND($D$15="",$A$27="Il semblerait que toutes vos réponses n'ont pas été saisies...")</formula>
    </cfRule>
  </conditionalFormatting>
  <conditionalFormatting sqref="D16">
    <cfRule type="expression" dxfId="140" priority="29">
      <formula>AND($D$15&lt;&gt;"",$D$16="")</formula>
    </cfRule>
    <cfRule type="expression" dxfId="139" priority="8">
      <formula>AND($D$16="",$A$27="Il semblerait que toutes vos réponses n'ont pas été saisies...")</formula>
    </cfRule>
  </conditionalFormatting>
  <conditionalFormatting sqref="D17">
    <cfRule type="expression" dxfId="138" priority="28">
      <formula>AND($D$16&lt;&gt;"",$D$17="")</formula>
    </cfRule>
    <cfRule type="expression" dxfId="137" priority="7">
      <formula>AND($D$17="",$A$27="Il semblerait que toutes vos réponses n'ont pas été saisies...")</formula>
    </cfRule>
  </conditionalFormatting>
  <conditionalFormatting sqref="D18">
    <cfRule type="expression" dxfId="136" priority="27">
      <formula>AND($D$17&lt;&gt;"",$D$18="")</formula>
    </cfRule>
    <cfRule type="expression" dxfId="135" priority="6">
      <formula>AND($D$18="",$A$27="Il semblerait que toutes vos réponses n'ont pas été saisies...")</formula>
    </cfRule>
  </conditionalFormatting>
  <conditionalFormatting sqref="D19">
    <cfRule type="expression" dxfId="134" priority="26">
      <formula>AND($D$18&lt;&gt;"",$D$19="")</formula>
    </cfRule>
    <cfRule type="expression" dxfId="133" priority="5">
      <formula>AND($D$19="",$A$27="Il semblerait que toutes vos réponses n'ont pas été saisies...")</formula>
    </cfRule>
  </conditionalFormatting>
  <conditionalFormatting sqref="D20">
    <cfRule type="expression" dxfId="132" priority="25">
      <formula>AND($D$19&lt;&gt;"",$D$20="")</formula>
    </cfRule>
    <cfRule type="expression" dxfId="131" priority="4">
      <formula>AND($D$20="",$A$27="Il semblerait que toutes vos réponses n'ont pas été saisies...")</formula>
    </cfRule>
  </conditionalFormatting>
  <conditionalFormatting sqref="D21">
    <cfRule type="expression" dxfId="130" priority="24">
      <formula>AND($D$20&lt;&gt;"",$D$21="")</formula>
    </cfRule>
    <cfRule type="expression" dxfId="129" priority="3">
      <formula>AND($D$21="",$A$27="Il semblerait que toutes vos réponses n'ont pas été saisies...")</formula>
    </cfRule>
  </conditionalFormatting>
  <conditionalFormatting sqref="D22">
    <cfRule type="expression" dxfId="128" priority="23">
      <formula>AND($D$21&lt;&gt;"",$D$22="")</formula>
    </cfRule>
    <cfRule type="expression" dxfId="127" priority="2">
      <formula>AND($D$22="",$A$27="Il semblerait que toutes vos réponses n'ont pas été saisies...")</formula>
    </cfRule>
  </conditionalFormatting>
  <conditionalFormatting sqref="D23">
    <cfRule type="expression" dxfId="126" priority="22">
      <formula>AND($D$22&lt;&gt;"",$D$23="")</formula>
    </cfRule>
    <cfRule type="expression" dxfId="125" priority="1">
      <formula>AND($D$23="",$A$27="Il semblerait que toutes vos réponses n'ont pas été saisies...")</formula>
    </cfRule>
  </conditionalFormatting>
  <conditionalFormatting sqref="D24">
    <cfRule type="expression" dxfId="124" priority="21">
      <formula>AND($D$23&lt;&gt;"",$D$24="")</formula>
    </cfRule>
  </conditionalFormatting>
  <conditionalFormatting sqref="A27">
    <cfRule type="expression" dxfId="123" priority="20">
      <formula>$A$27="Il semblerait que toutes vos réponses n'ont pas été saisies..."</formula>
    </cfRule>
  </conditionalFormatting>
  <dataValidations count="1">
    <dataValidation type="textLength" errorStyle="warning" operator="lessThanOrEqual" allowBlank="1" showInputMessage="1" showErrorMessage="1" errorTitle="Moins de 33 caractères" error="Le nombre de caractères maximun de saisie est atteint ou dépassé. Merci de bien vouloir recommencer (moins de 33 caractères)." sqref="D5:D24">
      <formula1>32</formula1>
    </dataValidation>
  </dataValidations>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sheetPr codeName="Feuil18"/>
  <dimension ref="A1:D30"/>
  <sheetViews>
    <sheetView showGridLines="0" showRowColHeaders="0" workbookViewId="0">
      <selection activeCell="E1" sqref="E1:XFD1048576"/>
    </sheetView>
  </sheetViews>
  <sheetFormatPr baseColWidth="10" defaultColWidth="0" defaultRowHeight="15" customHeight="1" zeroHeight="1"/>
  <cols>
    <col min="1" max="1" width="4.28515625" style="429" customWidth="1"/>
    <col min="2" max="2" width="6" style="429" customWidth="1"/>
    <col min="3" max="3" width="88.85546875" style="429" customWidth="1"/>
    <col min="4" max="4" width="32.5703125" style="429" customWidth="1"/>
    <col min="5" max="16384" width="11.42578125" style="429" hidden="1"/>
  </cols>
  <sheetData>
    <row r="1" spans="1:4" ht="33" customHeight="1">
      <c r="A1" s="876" t="s">
        <v>215</v>
      </c>
      <c r="B1" s="876"/>
      <c r="C1" s="876"/>
      <c r="D1" s="876"/>
    </row>
    <row r="2" spans="1:4">
      <c r="A2" s="874" t="s">
        <v>218</v>
      </c>
      <c r="B2" s="874"/>
      <c r="C2" s="874"/>
      <c r="D2" s="874"/>
    </row>
    <row r="3" spans="1:4">
      <c r="A3" s="874" t="s">
        <v>216</v>
      </c>
      <c r="B3" s="874"/>
      <c r="C3" s="874"/>
      <c r="D3" s="874"/>
    </row>
    <row r="4" spans="1:4">
      <c r="A4" s="193"/>
      <c r="B4" s="194"/>
      <c r="C4" s="193"/>
      <c r="D4" s="193"/>
    </row>
    <row r="5" spans="1:4">
      <c r="A5" s="193"/>
      <c r="B5" s="195">
        <v>1</v>
      </c>
      <c r="C5" s="196" t="s">
        <v>211</v>
      </c>
      <c r="D5" s="200" t="str">
        <f>IF(Révélations!D5=""," C'est Oublié ",Révélations!D5)</f>
        <v xml:space="preserve"> C'est Oublié </v>
      </c>
    </row>
    <row r="6" spans="1:4">
      <c r="A6" s="193"/>
      <c r="B6" s="195">
        <v>2</v>
      </c>
      <c r="C6" s="196" t="s">
        <v>219</v>
      </c>
      <c r="D6" s="200" t="str">
        <f>IF(Révélations!D6=""," C'est Oublié ",Révélations!D6)</f>
        <v xml:space="preserve"> C'est Oublié </v>
      </c>
    </row>
    <row r="7" spans="1:4">
      <c r="A7" s="193"/>
      <c r="B7" s="195">
        <v>3</v>
      </c>
      <c r="C7" s="196" t="s">
        <v>220</v>
      </c>
      <c r="D7" s="200" t="str">
        <f>IF(Révélations!D7=""," C'est Oublié ",Révélations!D7)</f>
        <v xml:space="preserve"> C'est Oublié </v>
      </c>
    </row>
    <row r="8" spans="1:4">
      <c r="A8" s="193"/>
      <c r="B8" s="195">
        <v>4</v>
      </c>
      <c r="C8" s="196" t="s">
        <v>221</v>
      </c>
      <c r="D8" s="200" t="str">
        <f>IF(Révélations!D8=""," C'est Oublié ",Révélations!D8)</f>
        <v xml:space="preserve"> C'est Oublié </v>
      </c>
    </row>
    <row r="9" spans="1:4">
      <c r="A9" s="193"/>
      <c r="B9" s="195">
        <v>5</v>
      </c>
      <c r="C9" s="196" t="s">
        <v>222</v>
      </c>
      <c r="D9" s="200" t="str">
        <f>IF(Révélations!D9=""," C'est Oublié ",Révélations!D9)</f>
        <v xml:space="preserve"> C'est Oublié </v>
      </c>
    </row>
    <row r="10" spans="1:4">
      <c r="A10" s="193"/>
      <c r="B10" s="195">
        <v>6</v>
      </c>
      <c r="C10" s="196" t="s">
        <v>223</v>
      </c>
      <c r="D10" s="200" t="str">
        <f>IF(Révélations!D10=""," C'est Oublié ",Révélations!D10)</f>
        <v xml:space="preserve"> C'est Oublié </v>
      </c>
    </row>
    <row r="11" spans="1:4">
      <c r="A11" s="193"/>
      <c r="B11" s="195">
        <v>7</v>
      </c>
      <c r="C11" s="196" t="s">
        <v>224</v>
      </c>
      <c r="D11" s="200" t="str">
        <f>IF(Révélations!D11=""," C'est Oublié ",Révélations!D11)</f>
        <v xml:space="preserve"> C'est Oublié </v>
      </c>
    </row>
    <row r="12" spans="1:4">
      <c r="A12" s="193"/>
      <c r="B12" s="195">
        <v>8</v>
      </c>
      <c r="C12" s="196" t="s">
        <v>225</v>
      </c>
      <c r="D12" s="200" t="str">
        <f>IF(Révélations!D12=""," C'est Oublié ",Révélations!D12)</f>
        <v xml:space="preserve"> C'est Oublié </v>
      </c>
    </row>
    <row r="13" spans="1:4">
      <c r="A13" s="193"/>
      <c r="B13" s="195">
        <v>9</v>
      </c>
      <c r="C13" s="196" t="s">
        <v>226</v>
      </c>
      <c r="D13" s="200" t="str">
        <f>IF(Révélations!D13=""," C'est Oublié ",Révélations!D13)</f>
        <v xml:space="preserve"> C'est Oublié </v>
      </c>
    </row>
    <row r="14" spans="1:4">
      <c r="A14" s="193"/>
      <c r="B14" s="195">
        <v>10</v>
      </c>
      <c r="C14" s="196" t="s">
        <v>227</v>
      </c>
      <c r="D14" s="200" t="str">
        <f>IF(Révélations!D14=""," C'est Oublié ",Révélations!D14)</f>
        <v xml:space="preserve"> C'est Oublié </v>
      </c>
    </row>
    <row r="15" spans="1:4">
      <c r="A15" s="193"/>
      <c r="B15" s="195">
        <v>11</v>
      </c>
      <c r="C15" s="196" t="s">
        <v>221</v>
      </c>
      <c r="D15" s="200" t="str">
        <f>IF(Révélations!D15=""," C'est Oublié ",Révélations!D15)</f>
        <v xml:space="preserve"> C'est Oublié </v>
      </c>
    </row>
    <row r="16" spans="1:4">
      <c r="A16" s="193"/>
      <c r="B16" s="195">
        <v>12</v>
      </c>
      <c r="C16" s="196" t="s">
        <v>228</v>
      </c>
      <c r="D16" s="200" t="str">
        <f>IF(Révélations!D16=""," C'est Oublié ",Révélations!D16)</f>
        <v xml:space="preserve"> C'est Oublié </v>
      </c>
    </row>
    <row r="17" spans="1:4">
      <c r="A17" s="193"/>
      <c r="B17" s="195">
        <v>13</v>
      </c>
      <c r="C17" s="196" t="s">
        <v>227</v>
      </c>
      <c r="D17" s="200" t="str">
        <f>IF(Révélations!D17=""," C'est Oublié ",Révélations!D17)</f>
        <v xml:space="preserve"> C'est Oublié </v>
      </c>
    </row>
    <row r="18" spans="1:4">
      <c r="A18" s="193"/>
      <c r="B18" s="195">
        <v>14</v>
      </c>
      <c r="C18" s="196" t="s">
        <v>229</v>
      </c>
      <c r="D18" s="201" t="str">
        <f>IF(Révélations!D18=""," C'est Oublié ",Révélations!D18)</f>
        <v xml:space="preserve"> C'est Oublié </v>
      </c>
    </row>
    <row r="19" spans="1:4">
      <c r="A19" s="193"/>
      <c r="B19" s="195">
        <v>15</v>
      </c>
      <c r="C19" s="196" t="s">
        <v>230</v>
      </c>
      <c r="D19" s="200" t="str">
        <f>IF(Révélations!D19=""," C'est Oublié ",Révélations!D19)</f>
        <v xml:space="preserve"> C'est Oublié </v>
      </c>
    </row>
    <row r="20" spans="1:4">
      <c r="A20" s="193"/>
      <c r="B20" s="195">
        <v>16</v>
      </c>
      <c r="C20" s="196" t="s">
        <v>222</v>
      </c>
      <c r="D20" s="200" t="str">
        <f>IF(Révélations!D20=""," C'est Oublié ",Révélations!D20)</f>
        <v xml:space="preserve"> C'est Oublié </v>
      </c>
    </row>
    <row r="21" spans="1:4">
      <c r="A21" s="193"/>
      <c r="B21" s="195">
        <v>17</v>
      </c>
      <c r="C21" s="196" t="s">
        <v>231</v>
      </c>
      <c r="D21" s="200" t="str">
        <f>IF(Révélations!D21=""," C'est Oublié ",Révélations!D21)</f>
        <v xml:space="preserve"> C'est Oublié </v>
      </c>
    </row>
    <row r="22" spans="1:4">
      <c r="A22" s="193"/>
      <c r="B22" s="195">
        <v>18</v>
      </c>
      <c r="C22" s="196" t="s">
        <v>232</v>
      </c>
      <c r="D22" s="200" t="str">
        <f>IF(Révélations!D22=""," C'est Oublié ",Révélations!D22)</f>
        <v xml:space="preserve"> C'est Oublié </v>
      </c>
    </row>
    <row r="23" spans="1:4">
      <c r="A23" s="193"/>
      <c r="B23" s="195">
        <v>19</v>
      </c>
      <c r="C23" s="196" t="s">
        <v>233</v>
      </c>
      <c r="D23" s="200" t="str">
        <f>IF(Révélations!D23=""," C'est Oublié ",Révélations!D23)</f>
        <v xml:space="preserve"> C'est Oublié </v>
      </c>
    </row>
    <row r="24" spans="1:4">
      <c r="A24" s="193"/>
      <c r="B24" s="195">
        <v>20</v>
      </c>
      <c r="C24" s="196" t="s">
        <v>214</v>
      </c>
      <c r="D24" s="200" t="str">
        <f>IF(Révélations!D24=""," C'est Oublié ",Révélations!D24)</f>
        <v xml:space="preserve"> C'est Oublié </v>
      </c>
    </row>
    <row r="25" spans="1:4">
      <c r="A25" s="193"/>
      <c r="B25" s="193"/>
      <c r="C25" s="196"/>
      <c r="D25" s="193"/>
    </row>
    <row r="26" spans="1:4">
      <c r="A26" s="874" t="str">
        <f>IF(D24="","","O_o' ….. Et bien je ne sais pas trop quoi dire si ce n'est que je ne m'attendais pas à cela !!")</f>
        <v>O_o' ….. Et bien je ne sais pas trop quoi dire si ce n'est que je ne m'attendais pas à cela !!</v>
      </c>
      <c r="B26" s="874"/>
      <c r="C26" s="874"/>
      <c r="D26" s="874"/>
    </row>
    <row r="27" spans="1:4">
      <c r="A27" s="874"/>
      <c r="B27" s="874"/>
      <c r="C27" s="874"/>
      <c r="D27" s="874"/>
    </row>
    <row r="28" spans="1:4">
      <c r="A28" s="877"/>
      <c r="B28" s="877"/>
      <c r="C28" s="877"/>
      <c r="D28" s="877"/>
    </row>
    <row r="29" spans="1:4">
      <c r="A29" s="193"/>
      <c r="B29" s="193"/>
      <c r="C29" s="193"/>
      <c r="D29" s="193"/>
    </row>
    <row r="30" spans="1:4" ht="15" hidden="1" customHeight="1"/>
  </sheetData>
  <sheetProtection password="8B0A" sheet="1" objects="1" scenarios="1"/>
  <mergeCells count="6">
    <mergeCell ref="A1:D1"/>
    <mergeCell ref="A2:D2"/>
    <mergeCell ref="A3:D3"/>
    <mergeCell ref="A27:D27"/>
    <mergeCell ref="A28:D28"/>
    <mergeCell ref="A26:D26"/>
  </mergeCells>
  <dataValidations count="1">
    <dataValidation type="textLength" errorStyle="warning" operator="lessThanOrEqual" allowBlank="1" showInputMessage="1" showErrorMessage="1" errorTitle="Moins de 33 caractères" error="Le nombre de caractères maximun de saisie est atteint ou dépassé. Merci de bien vouloir recommencer (moins de 33 caractères)." sqref="D5:D24">
      <formula1>32</formula1>
    </dataValidation>
  </dataValidations>
  <pageMargins left="0.7" right="0.7" top="0.75" bottom="0.75" header="0.3" footer="0.3"/>
  <pageSetup paperSize="9" orientation="portrait" verticalDpi="0" r:id="rId1"/>
  <drawing r:id="rId2"/>
</worksheet>
</file>

<file path=xl/worksheets/sheet33.xml><?xml version="1.0" encoding="utf-8"?>
<worksheet xmlns="http://schemas.openxmlformats.org/spreadsheetml/2006/main" xmlns:r="http://schemas.openxmlformats.org/officeDocument/2006/relationships">
  <sheetPr codeName="Feuil22"/>
  <dimension ref="A1:Y62"/>
  <sheetViews>
    <sheetView showRowColHeaders="0" zoomScale="82" zoomScaleNormal="82" workbookViewId="0">
      <selection sqref="A1:A38"/>
    </sheetView>
  </sheetViews>
  <sheetFormatPr baseColWidth="10" defaultColWidth="0" defaultRowHeight="15" zeroHeight="1"/>
  <cols>
    <col min="1" max="1" width="2.7109375" style="429" customWidth="1"/>
    <col min="2" max="12" width="11.42578125" style="429" customWidth="1"/>
    <col min="13" max="13" width="2.7109375" style="429" customWidth="1"/>
    <col min="14" max="24" width="11.42578125" style="429" customWidth="1"/>
    <col min="25" max="25" width="2.7109375" style="453" customWidth="1"/>
    <col min="26" max="16384" width="11.42578125" style="453" hidden="1"/>
  </cols>
  <sheetData>
    <row r="1" spans="1:25" ht="15.75">
      <c r="A1" s="886"/>
      <c r="B1" s="886"/>
      <c r="C1" s="886"/>
      <c r="D1" s="886"/>
      <c r="E1" s="886"/>
      <c r="F1" s="886"/>
      <c r="G1" s="886"/>
      <c r="H1" s="886"/>
      <c r="I1" s="886"/>
      <c r="J1" s="886"/>
      <c r="K1" s="886"/>
      <c r="L1" s="886"/>
      <c r="M1" s="886"/>
      <c r="N1" s="886"/>
      <c r="O1" s="886"/>
      <c r="P1" s="886"/>
      <c r="Q1" s="886"/>
      <c r="R1" s="886"/>
      <c r="S1" s="886"/>
      <c r="T1" s="886"/>
      <c r="U1" s="886"/>
      <c r="V1" s="886"/>
      <c r="W1" s="886"/>
      <c r="X1" s="886"/>
      <c r="Y1" s="889"/>
    </row>
    <row r="2" spans="1:25" ht="3.75" customHeight="1">
      <c r="A2" s="886"/>
      <c r="B2" s="886"/>
      <c r="C2" s="886"/>
      <c r="D2" s="886"/>
      <c r="E2" s="886"/>
      <c r="F2" s="886"/>
      <c r="G2" s="886"/>
      <c r="H2" s="886"/>
      <c r="I2" s="886"/>
      <c r="J2" s="886"/>
      <c r="K2" s="886"/>
      <c r="L2" s="886"/>
      <c r="M2" s="884"/>
      <c r="N2" s="886"/>
      <c r="O2" s="886"/>
      <c r="P2" s="886"/>
      <c r="Q2" s="886"/>
      <c r="R2" s="886"/>
      <c r="S2" s="886"/>
      <c r="T2" s="886"/>
      <c r="U2" s="886"/>
      <c r="V2" s="886"/>
      <c r="W2" s="886"/>
      <c r="X2" s="886"/>
      <c r="Y2" s="889"/>
    </row>
    <row r="3" spans="1:25">
      <c r="A3" s="886"/>
      <c r="B3" s="883"/>
      <c r="C3" s="883"/>
      <c r="D3" s="883"/>
      <c r="E3" s="883"/>
      <c r="F3" s="883"/>
      <c r="G3" s="883"/>
      <c r="H3" s="883"/>
      <c r="I3" s="883"/>
      <c r="J3" s="883"/>
      <c r="K3" s="883"/>
      <c r="L3" s="883"/>
      <c r="M3" s="884"/>
      <c r="N3" s="883"/>
      <c r="O3" s="883"/>
      <c r="P3" s="883"/>
      <c r="Q3" s="883"/>
      <c r="R3" s="883"/>
      <c r="S3" s="883"/>
      <c r="T3" s="883"/>
      <c r="U3" s="883"/>
      <c r="V3" s="883"/>
      <c r="W3" s="883"/>
      <c r="X3" s="883"/>
      <c r="Y3" s="889"/>
    </row>
    <row r="4" spans="1:25">
      <c r="A4" s="886"/>
      <c r="B4" s="883"/>
      <c r="C4" s="883"/>
      <c r="D4" s="883"/>
      <c r="E4" s="883"/>
      <c r="F4" s="883"/>
      <c r="G4" s="883"/>
      <c r="H4" s="883"/>
      <c r="I4" s="883"/>
      <c r="J4" s="883"/>
      <c r="K4" s="883"/>
      <c r="L4" s="883"/>
      <c r="M4" s="884"/>
      <c r="N4" s="883"/>
      <c r="O4" s="883"/>
      <c r="P4" s="883"/>
      <c r="Q4" s="883"/>
      <c r="R4" s="883"/>
      <c r="S4" s="883"/>
      <c r="T4" s="883"/>
      <c r="U4" s="883"/>
      <c r="V4" s="883"/>
      <c r="W4" s="883"/>
      <c r="X4" s="883"/>
      <c r="Y4" s="889"/>
    </row>
    <row r="5" spans="1:25" ht="15.75">
      <c r="A5" s="886"/>
      <c r="B5" s="883"/>
      <c r="C5" s="883"/>
      <c r="D5" s="883"/>
      <c r="E5" s="883"/>
      <c r="F5" s="883"/>
      <c r="G5" s="883"/>
      <c r="H5" s="883"/>
      <c r="I5" s="883"/>
      <c r="J5" s="883"/>
      <c r="K5" s="883"/>
      <c r="L5" s="883"/>
      <c r="M5" s="884"/>
      <c r="N5" s="426"/>
      <c r="O5" s="882"/>
      <c r="P5" s="882"/>
      <c r="Q5" s="882"/>
      <c r="R5" s="882"/>
      <c r="S5" s="882"/>
      <c r="T5" s="882"/>
      <c r="U5" s="882"/>
      <c r="V5" s="882"/>
      <c r="W5" s="882"/>
      <c r="X5" s="882"/>
      <c r="Y5" s="889"/>
    </row>
    <row r="6" spans="1:25" ht="15.75">
      <c r="A6" s="886"/>
      <c r="B6" s="883"/>
      <c r="C6" s="883"/>
      <c r="D6" s="883"/>
      <c r="E6" s="883"/>
      <c r="F6" s="883"/>
      <c r="G6" s="883"/>
      <c r="H6" s="883"/>
      <c r="I6" s="883"/>
      <c r="J6" s="883"/>
      <c r="K6" s="883"/>
      <c r="L6" s="883"/>
      <c r="M6" s="884"/>
      <c r="N6" s="879" t="str">
        <f>IF(O5="","","Quel-est-il ?")</f>
        <v/>
      </c>
      <c r="O6" s="879"/>
      <c r="P6" s="879"/>
      <c r="Q6" s="879"/>
      <c r="R6" s="879"/>
      <c r="S6" s="879"/>
      <c r="T6" s="879"/>
      <c r="U6" s="879"/>
      <c r="V6" s="879"/>
      <c r="W6" s="879"/>
      <c r="X6" s="879"/>
      <c r="Y6" s="889"/>
    </row>
    <row r="7" spans="1:25">
      <c r="A7" s="886"/>
      <c r="B7" s="883"/>
      <c r="C7" s="883"/>
      <c r="D7" s="883"/>
      <c r="E7" s="883"/>
      <c r="F7" s="883"/>
      <c r="G7" s="883"/>
      <c r="H7" s="883"/>
      <c r="I7" s="883"/>
      <c r="J7" s="883"/>
      <c r="K7" s="883"/>
      <c r="L7" s="883"/>
      <c r="M7" s="884"/>
      <c r="N7" s="888" t="str">
        <f>IF(O11="","","Le Lion")</f>
        <v/>
      </c>
      <c r="O7" s="888"/>
      <c r="P7" s="888"/>
      <c r="Q7" s="888"/>
      <c r="R7" s="888"/>
      <c r="S7" s="888"/>
      <c r="T7" s="888"/>
      <c r="U7" s="888"/>
      <c r="V7" s="888"/>
      <c r="W7" s="888"/>
      <c r="X7" s="888"/>
      <c r="Y7" s="889"/>
    </row>
    <row r="8" spans="1:25" ht="21" customHeight="1">
      <c r="A8" s="886"/>
      <c r="B8" s="883"/>
      <c r="C8" s="883"/>
      <c r="D8" s="883"/>
      <c r="E8" s="883"/>
      <c r="F8" s="883"/>
      <c r="G8" s="883"/>
      <c r="H8" s="883"/>
      <c r="I8" s="883"/>
      <c r="J8" s="883"/>
      <c r="K8" s="883"/>
      <c r="L8" s="883"/>
      <c r="M8" s="884"/>
      <c r="N8" s="888"/>
      <c r="O8" s="888"/>
      <c r="P8" s="888"/>
      <c r="Q8" s="888"/>
      <c r="R8" s="888"/>
      <c r="S8" s="888"/>
      <c r="T8" s="888"/>
      <c r="U8" s="888"/>
      <c r="V8" s="888"/>
      <c r="W8" s="888"/>
      <c r="X8" s="888"/>
      <c r="Y8" s="889"/>
    </row>
    <row r="9" spans="1:25">
      <c r="A9" s="886"/>
      <c r="B9" s="883"/>
      <c r="C9" s="883"/>
      <c r="D9" s="883"/>
      <c r="E9" s="883"/>
      <c r="F9" s="883"/>
      <c r="G9" s="883"/>
      <c r="H9" s="883"/>
      <c r="I9" s="883"/>
      <c r="J9" s="883"/>
      <c r="K9" s="883"/>
      <c r="L9" s="883"/>
      <c r="M9" s="884"/>
      <c r="N9" s="888"/>
      <c r="O9" s="888"/>
      <c r="P9" s="888"/>
      <c r="Q9" s="888"/>
      <c r="R9" s="888"/>
      <c r="S9" s="888"/>
      <c r="T9" s="888"/>
      <c r="U9" s="888"/>
      <c r="V9" s="888"/>
      <c r="W9" s="888"/>
      <c r="X9" s="888"/>
      <c r="Y9" s="889"/>
    </row>
    <row r="10" spans="1:25" ht="15.75">
      <c r="A10" s="886"/>
      <c r="B10" s="426"/>
      <c r="C10" s="880"/>
      <c r="D10" s="880"/>
      <c r="E10" s="880"/>
      <c r="F10" s="880"/>
      <c r="G10" s="880"/>
      <c r="H10" s="880"/>
      <c r="I10" s="880"/>
      <c r="J10" s="880"/>
      <c r="K10" s="880"/>
      <c r="L10" s="880"/>
      <c r="M10" s="884"/>
      <c r="N10" s="426" t="str">
        <f>IF(AND(O5&lt;&gt;"",B36&lt;&gt;""),B16,"")</f>
        <v/>
      </c>
      <c r="O10" s="881"/>
      <c r="P10" s="881"/>
      <c r="Q10" s="881"/>
      <c r="R10" s="881"/>
      <c r="S10" s="881"/>
      <c r="T10" s="881"/>
      <c r="U10" s="881"/>
      <c r="V10" s="881"/>
      <c r="W10" s="881"/>
      <c r="X10" s="881"/>
      <c r="Y10" s="889"/>
    </row>
    <row r="11" spans="1:25" ht="15.75">
      <c r="A11" s="886"/>
      <c r="B11" s="881" t="str">
        <f>IF(C10="","","Dans sa soute, 523 valises. A la suite d'erreurs de manipulation succesives, la soute s'ouvre et une seule valise se détadche et tombe en plein vol.")</f>
        <v/>
      </c>
      <c r="C11" s="881"/>
      <c r="D11" s="881"/>
      <c r="E11" s="881"/>
      <c r="F11" s="881"/>
      <c r="G11" s="881"/>
      <c r="H11" s="881"/>
      <c r="I11" s="881"/>
      <c r="J11" s="881"/>
      <c r="K11" s="881"/>
      <c r="L11" s="881"/>
      <c r="M11" s="884"/>
      <c r="N11" s="426"/>
      <c r="O11" s="882"/>
      <c r="P11" s="882"/>
      <c r="Q11" s="882"/>
      <c r="R11" s="882"/>
      <c r="S11" s="882"/>
      <c r="T11" s="882"/>
      <c r="U11" s="882"/>
      <c r="V11" s="882"/>
      <c r="W11" s="882"/>
      <c r="X11" s="882"/>
      <c r="Y11" s="889"/>
    </row>
    <row r="12" spans="1:25" ht="15.75">
      <c r="A12" s="886"/>
      <c r="B12" s="879" t="str">
        <f>IF(C10="","","Combien reste-t-il de valises dans la soute de l'avion ?")</f>
        <v/>
      </c>
      <c r="C12" s="879"/>
      <c r="D12" s="879"/>
      <c r="E12" s="879"/>
      <c r="F12" s="879"/>
      <c r="G12" s="879"/>
      <c r="H12" s="879"/>
      <c r="I12" s="879"/>
      <c r="J12" s="879"/>
      <c r="K12" s="879"/>
      <c r="L12" s="879"/>
      <c r="M12" s="884"/>
      <c r="N12" s="881" t="str">
        <f>IF(O11="","","Cependant après une journée, la gazelle qui s'occupait de l'accueil, signale au Lion qu'un animal reste absent ?")</f>
        <v/>
      </c>
      <c r="O12" s="881"/>
      <c r="P12" s="881"/>
      <c r="Q12" s="881"/>
      <c r="R12" s="881"/>
      <c r="S12" s="881"/>
      <c r="T12" s="881"/>
      <c r="U12" s="881"/>
      <c r="V12" s="881"/>
      <c r="W12" s="881"/>
      <c r="X12" s="881"/>
      <c r="Y12" s="889"/>
    </row>
    <row r="13" spans="1:25" ht="15.75">
      <c r="A13" s="886"/>
      <c r="B13" s="888" t="str">
        <f>IF(C17="","",522)</f>
        <v/>
      </c>
      <c r="C13" s="888"/>
      <c r="D13" s="888"/>
      <c r="E13" s="888"/>
      <c r="F13" s="888"/>
      <c r="G13" s="888"/>
      <c r="H13" s="888"/>
      <c r="I13" s="888"/>
      <c r="J13" s="888"/>
      <c r="K13" s="888"/>
      <c r="L13" s="888"/>
      <c r="M13" s="885"/>
      <c r="N13" s="879" t="str">
        <f>IF(O11="","","Quel-est-il ?  Et Pourquoi ? ")</f>
        <v/>
      </c>
      <c r="O13" s="879"/>
      <c r="P13" s="879"/>
      <c r="Q13" s="879"/>
      <c r="R13" s="879"/>
      <c r="S13" s="879"/>
      <c r="T13" s="879"/>
      <c r="U13" s="879"/>
      <c r="V13" s="879"/>
      <c r="W13" s="879"/>
      <c r="X13" s="879"/>
      <c r="Y13" s="889"/>
    </row>
    <row r="14" spans="1:25" ht="15" customHeight="1">
      <c r="A14" s="886"/>
      <c r="B14" s="888"/>
      <c r="C14" s="888"/>
      <c r="D14" s="888"/>
      <c r="E14" s="888"/>
      <c r="F14" s="888"/>
      <c r="G14" s="888"/>
      <c r="H14" s="888"/>
      <c r="I14" s="888"/>
      <c r="J14" s="888"/>
      <c r="K14" s="888"/>
      <c r="L14" s="888"/>
      <c r="M14" s="885"/>
      <c r="N14" s="888" t="str">
        <f>IF(O20="","","La Girafe, elle est encore dans le frigo … ! ")</f>
        <v/>
      </c>
      <c r="O14" s="888"/>
      <c r="P14" s="888"/>
      <c r="Q14" s="888"/>
      <c r="R14" s="888"/>
      <c r="S14" s="888"/>
      <c r="T14" s="888"/>
      <c r="U14" s="888"/>
      <c r="V14" s="888"/>
      <c r="W14" s="888"/>
      <c r="X14" s="888"/>
      <c r="Y14" s="889"/>
    </row>
    <row r="15" spans="1:25" ht="15" customHeight="1">
      <c r="A15" s="886"/>
      <c r="B15" s="888"/>
      <c r="C15" s="888"/>
      <c r="D15" s="888"/>
      <c r="E15" s="888"/>
      <c r="F15" s="888"/>
      <c r="G15" s="888"/>
      <c r="H15" s="888"/>
      <c r="I15" s="888"/>
      <c r="J15" s="888"/>
      <c r="K15" s="888"/>
      <c r="L15" s="888"/>
      <c r="M15" s="885"/>
      <c r="N15" s="888"/>
      <c r="O15" s="888"/>
      <c r="P15" s="888"/>
      <c r="Q15" s="888"/>
      <c r="R15" s="888"/>
      <c r="S15" s="888"/>
      <c r="T15" s="888"/>
      <c r="U15" s="888"/>
      <c r="V15" s="888"/>
      <c r="W15" s="888"/>
      <c r="X15" s="888"/>
      <c r="Y15" s="889"/>
    </row>
    <row r="16" spans="1:25" ht="21" customHeight="1">
      <c r="A16" s="886"/>
      <c r="B16" s="426" t="str">
        <f>IF(C10="","","… Suite")</f>
        <v/>
      </c>
      <c r="C16" s="883"/>
      <c r="D16" s="883"/>
      <c r="E16" s="883"/>
      <c r="F16" s="883"/>
      <c r="G16" s="883"/>
      <c r="H16" s="883"/>
      <c r="I16" s="883"/>
      <c r="J16" s="883"/>
      <c r="K16" s="883"/>
      <c r="L16" s="883"/>
      <c r="M16" s="885"/>
      <c r="N16" s="888"/>
      <c r="O16" s="888"/>
      <c r="P16" s="888"/>
      <c r="Q16" s="888"/>
      <c r="R16" s="888"/>
      <c r="S16" s="888"/>
      <c r="T16" s="888"/>
      <c r="U16" s="888"/>
      <c r="V16" s="888"/>
      <c r="W16" s="888"/>
      <c r="X16" s="888"/>
      <c r="Y16" s="889"/>
    </row>
    <row r="17" spans="1:25" ht="21" customHeight="1">
      <c r="A17" s="886"/>
      <c r="B17" s="426"/>
      <c r="C17" s="882"/>
      <c r="D17" s="882"/>
      <c r="E17" s="882"/>
      <c r="F17" s="882"/>
      <c r="G17" s="882"/>
      <c r="H17" s="882"/>
      <c r="I17" s="882"/>
      <c r="J17" s="882"/>
      <c r="K17" s="882"/>
      <c r="L17" s="882"/>
      <c r="M17" s="885"/>
      <c r="N17" s="888"/>
      <c r="O17" s="888"/>
      <c r="P17" s="888"/>
      <c r="Q17" s="888"/>
      <c r="R17" s="888"/>
      <c r="S17" s="888"/>
      <c r="T17" s="888"/>
      <c r="U17" s="888"/>
      <c r="V17" s="888"/>
      <c r="W17" s="888"/>
      <c r="X17" s="888"/>
      <c r="Y17" s="889"/>
    </row>
    <row r="18" spans="1:25" ht="21" customHeight="1">
      <c r="A18" s="886"/>
      <c r="B18" s="879" t="str">
        <f>IF(C17="","","Comment faire pour y mettre un éléphant en 3 étapes ?")</f>
        <v/>
      </c>
      <c r="C18" s="879"/>
      <c r="D18" s="879"/>
      <c r="E18" s="879"/>
      <c r="F18" s="879"/>
      <c r="G18" s="879"/>
      <c r="H18" s="879"/>
      <c r="I18" s="879"/>
      <c r="J18" s="879"/>
      <c r="K18" s="879"/>
      <c r="L18" s="879"/>
      <c r="M18" s="885"/>
      <c r="N18" s="888"/>
      <c r="O18" s="888"/>
      <c r="P18" s="888"/>
      <c r="Q18" s="888"/>
      <c r="R18" s="888"/>
      <c r="S18" s="888"/>
      <c r="T18" s="888"/>
      <c r="U18" s="888"/>
      <c r="V18" s="888"/>
      <c r="W18" s="888"/>
      <c r="X18" s="888"/>
      <c r="Y18" s="889"/>
    </row>
    <row r="19" spans="1:25" ht="21" customHeight="1">
      <c r="A19" s="886"/>
      <c r="B19" s="888" t="str">
        <f>IF(C26="","","1) Ouvrir le frigo")</f>
        <v/>
      </c>
      <c r="C19" s="888"/>
      <c r="D19" s="888"/>
      <c r="E19" s="888"/>
      <c r="F19" s="888"/>
      <c r="G19" s="888"/>
      <c r="H19" s="888"/>
      <c r="I19" s="888"/>
      <c r="J19" s="888"/>
      <c r="K19" s="888"/>
      <c r="L19" s="888"/>
      <c r="M19" s="885"/>
      <c r="N19" s="426" t="str">
        <f>IF(AND(O11&lt;&gt;"",N10&lt;&gt;""),B16,"")</f>
        <v/>
      </c>
      <c r="O19" s="881"/>
      <c r="P19" s="881"/>
      <c r="Q19" s="881"/>
      <c r="R19" s="881"/>
      <c r="S19" s="881"/>
      <c r="T19" s="881"/>
      <c r="U19" s="881"/>
      <c r="V19" s="881"/>
      <c r="W19" s="881"/>
      <c r="X19" s="881"/>
      <c r="Y19" s="889"/>
    </row>
    <row r="20" spans="1:25" ht="21" customHeight="1">
      <c r="A20" s="886"/>
      <c r="B20" s="888"/>
      <c r="C20" s="888"/>
      <c r="D20" s="888"/>
      <c r="E20" s="888"/>
      <c r="F20" s="888"/>
      <c r="G20" s="888"/>
      <c r="H20" s="888"/>
      <c r="I20" s="888"/>
      <c r="J20" s="888"/>
      <c r="K20" s="888"/>
      <c r="L20" s="888"/>
      <c r="M20" s="885"/>
      <c r="N20" s="426"/>
      <c r="O20" s="880"/>
      <c r="P20" s="880"/>
      <c r="Q20" s="880"/>
      <c r="R20" s="880"/>
      <c r="S20" s="880"/>
      <c r="T20" s="880"/>
      <c r="U20" s="880"/>
      <c r="V20" s="880"/>
      <c r="W20" s="880"/>
      <c r="X20" s="880"/>
      <c r="Y20" s="889"/>
    </row>
    <row r="21" spans="1:25" ht="21" customHeight="1">
      <c r="A21" s="886"/>
      <c r="B21" s="887" t="str">
        <f>IF(C26="","","2) Mettre l'Éléphant")</f>
        <v/>
      </c>
      <c r="C21" s="888"/>
      <c r="D21" s="888"/>
      <c r="E21" s="888"/>
      <c r="F21" s="888"/>
      <c r="G21" s="888"/>
      <c r="H21" s="888"/>
      <c r="I21" s="888"/>
      <c r="J21" s="888"/>
      <c r="K21" s="888"/>
      <c r="L21" s="888"/>
      <c r="M21" s="885"/>
      <c r="N21" s="881" t="str">
        <f>IF(O20="","","aux crocos'. Avec une telle chaleur, il lui vient même à l'idée de traverser cette mare à la nage…. ")</f>
        <v/>
      </c>
      <c r="O21" s="881"/>
      <c r="P21" s="881"/>
      <c r="Q21" s="881"/>
      <c r="R21" s="881"/>
      <c r="S21" s="881"/>
      <c r="T21" s="881"/>
      <c r="U21" s="881"/>
      <c r="V21" s="881"/>
      <c r="W21" s="881"/>
      <c r="X21" s="881"/>
      <c r="Y21" s="889"/>
    </row>
    <row r="22" spans="1:25" ht="21" customHeight="1">
      <c r="A22" s="886"/>
      <c r="B22" s="888"/>
      <c r="C22" s="888"/>
      <c r="D22" s="888"/>
      <c r="E22" s="888"/>
      <c r="F22" s="888"/>
      <c r="G22" s="888"/>
      <c r="H22" s="888"/>
      <c r="I22" s="888"/>
      <c r="J22" s="888"/>
      <c r="K22" s="888"/>
      <c r="L22" s="888"/>
      <c r="M22" s="885"/>
      <c r="N22" s="879" t="str">
        <f>IF(O20="","","Est-ce sans risque ?  Et Pourquoi ?")</f>
        <v/>
      </c>
      <c r="O22" s="879"/>
      <c r="P22" s="879"/>
      <c r="Q22" s="879"/>
      <c r="R22" s="879"/>
      <c r="S22" s="879"/>
      <c r="T22" s="879"/>
      <c r="U22" s="879"/>
      <c r="V22" s="879"/>
      <c r="W22" s="879"/>
      <c r="X22" s="879"/>
      <c r="Y22" s="889"/>
    </row>
    <row r="23" spans="1:25" ht="21" customHeight="1">
      <c r="A23" s="886"/>
      <c r="B23" s="888" t="str">
        <f>IF(C26="","","3) Fermer le frigo")</f>
        <v/>
      </c>
      <c r="C23" s="888"/>
      <c r="D23" s="888"/>
      <c r="E23" s="888"/>
      <c r="F23" s="888"/>
      <c r="G23" s="888"/>
      <c r="H23" s="888"/>
      <c r="I23" s="888"/>
      <c r="J23" s="888"/>
      <c r="K23" s="888"/>
      <c r="L23" s="888"/>
      <c r="M23" s="885"/>
      <c r="N23" s="888" t="str">
        <f>IF(O27="","","Bien sûr, les Crocodiles sont à l'anniversaire du Lion !")</f>
        <v/>
      </c>
      <c r="O23" s="888"/>
      <c r="P23" s="888"/>
      <c r="Q23" s="888"/>
      <c r="R23" s="888"/>
      <c r="S23" s="888"/>
      <c r="T23" s="888"/>
      <c r="U23" s="888"/>
      <c r="V23" s="888"/>
      <c r="W23" s="888"/>
      <c r="X23" s="888"/>
      <c r="Y23" s="889"/>
    </row>
    <row r="24" spans="1:25" ht="21" customHeight="1">
      <c r="A24" s="886"/>
      <c r="B24" s="888"/>
      <c r="C24" s="888"/>
      <c r="D24" s="888"/>
      <c r="E24" s="888"/>
      <c r="F24" s="888"/>
      <c r="G24" s="888"/>
      <c r="H24" s="888"/>
      <c r="I24" s="888"/>
      <c r="J24" s="888"/>
      <c r="K24" s="888"/>
      <c r="L24" s="888"/>
      <c r="M24" s="885"/>
      <c r="N24" s="888"/>
      <c r="O24" s="888"/>
      <c r="P24" s="888"/>
      <c r="Q24" s="888"/>
      <c r="R24" s="888"/>
      <c r="S24" s="888"/>
      <c r="T24" s="888"/>
      <c r="U24" s="888"/>
      <c r="V24" s="888"/>
      <c r="W24" s="888"/>
      <c r="X24" s="888"/>
      <c r="Y24" s="889"/>
    </row>
    <row r="25" spans="1:25" ht="15.75">
      <c r="A25" s="886"/>
      <c r="B25" s="426" t="str">
        <f>IF(AND(C17&lt;&gt;"",B16&lt;&gt;""),B16,"")</f>
        <v/>
      </c>
      <c r="C25" s="883"/>
      <c r="D25" s="883"/>
      <c r="E25" s="883"/>
      <c r="F25" s="883"/>
      <c r="G25" s="883"/>
      <c r="H25" s="883"/>
      <c r="I25" s="883"/>
      <c r="J25" s="883"/>
      <c r="K25" s="883"/>
      <c r="L25" s="883"/>
      <c r="M25" s="885"/>
      <c r="N25" s="888"/>
      <c r="O25" s="888"/>
      <c r="P25" s="888"/>
      <c r="Q25" s="888"/>
      <c r="R25" s="888"/>
      <c r="S25" s="888"/>
      <c r="T25" s="888"/>
      <c r="U25" s="888"/>
      <c r="V25" s="888"/>
      <c r="W25" s="888"/>
      <c r="X25" s="888"/>
      <c r="Y25" s="889"/>
    </row>
    <row r="26" spans="1:25" ht="15.75">
      <c r="A26" s="886"/>
      <c r="B26" s="426"/>
      <c r="C26" s="882"/>
      <c r="D26" s="882"/>
      <c r="E26" s="882"/>
      <c r="F26" s="882"/>
      <c r="G26" s="882"/>
      <c r="H26" s="882"/>
      <c r="I26" s="882"/>
      <c r="J26" s="882"/>
      <c r="K26" s="882"/>
      <c r="L26" s="882"/>
      <c r="M26" s="885"/>
      <c r="N26" s="426" t="str">
        <f>IF(AND(O20&lt;&gt;"",N19&lt;&gt;""),B16,"")</f>
        <v/>
      </c>
      <c r="O26" s="881"/>
      <c r="P26" s="881"/>
      <c r="Q26" s="881"/>
      <c r="R26" s="881"/>
      <c r="S26" s="881"/>
      <c r="T26" s="881"/>
      <c r="U26" s="881"/>
      <c r="V26" s="881"/>
      <c r="W26" s="881"/>
      <c r="X26" s="881"/>
      <c r="Y26" s="889"/>
    </row>
    <row r="27" spans="1:25" ht="15.75">
      <c r="A27" s="886"/>
      <c r="B27" s="879" t="str">
        <f>IF(C26="","","Comment le faire en 4 étapes ?")</f>
        <v/>
      </c>
      <c r="C27" s="879"/>
      <c r="D27" s="879"/>
      <c r="E27" s="879"/>
      <c r="F27" s="879"/>
      <c r="G27" s="879"/>
      <c r="H27" s="879"/>
      <c r="I27" s="879"/>
      <c r="J27" s="879"/>
      <c r="K27" s="879"/>
      <c r="L27" s="879"/>
      <c r="M27" s="885"/>
      <c r="N27" s="426"/>
      <c r="O27" s="882"/>
      <c r="P27" s="882"/>
      <c r="Q27" s="882"/>
      <c r="R27" s="882"/>
      <c r="S27" s="882"/>
      <c r="T27" s="882"/>
      <c r="U27" s="882"/>
      <c r="V27" s="882"/>
      <c r="W27" s="882"/>
      <c r="X27" s="882"/>
      <c r="Y27" s="889"/>
    </row>
    <row r="28" spans="1:25" ht="21" customHeight="1">
      <c r="A28" s="886"/>
      <c r="B28" s="888" t="str">
        <f>IF(O5="","","1) Ouvrir le frigo")</f>
        <v/>
      </c>
      <c r="C28" s="888"/>
      <c r="D28" s="888"/>
      <c r="E28" s="888"/>
      <c r="F28" s="888"/>
      <c r="G28" s="888"/>
      <c r="H28" s="888"/>
      <c r="I28" s="888"/>
      <c r="J28" s="888"/>
      <c r="K28" s="888"/>
      <c r="L28" s="888"/>
      <c r="M28" s="885"/>
      <c r="N28" s="879" t="str">
        <f>IF(O27="","","Pourquoi ?")</f>
        <v/>
      </c>
      <c r="O28" s="879"/>
      <c r="P28" s="879"/>
      <c r="Q28" s="879"/>
      <c r="R28" s="879"/>
      <c r="S28" s="879"/>
      <c r="T28" s="879"/>
      <c r="U28" s="879"/>
      <c r="V28" s="879"/>
      <c r="W28" s="879"/>
      <c r="X28" s="879"/>
      <c r="Y28" s="889"/>
    </row>
    <row r="29" spans="1:25" ht="21" customHeight="1">
      <c r="A29" s="886"/>
      <c r="B29" s="888"/>
      <c r="C29" s="888"/>
      <c r="D29" s="888"/>
      <c r="E29" s="888"/>
      <c r="F29" s="888"/>
      <c r="G29" s="888"/>
      <c r="H29" s="888"/>
      <c r="I29" s="888"/>
      <c r="J29" s="888"/>
      <c r="K29" s="888"/>
      <c r="L29" s="888"/>
      <c r="M29" s="885"/>
      <c r="N29" s="888" t="str">
        <f>IF(N33="","","La valise…")</f>
        <v/>
      </c>
      <c r="O29" s="888"/>
      <c r="P29" s="888"/>
      <c r="Q29" s="888"/>
      <c r="R29" s="888"/>
      <c r="S29" s="888"/>
      <c r="T29" s="888"/>
      <c r="U29" s="888"/>
      <c r="V29" s="888"/>
      <c r="W29" s="888"/>
      <c r="X29" s="888"/>
      <c r="Y29" s="889"/>
    </row>
    <row r="30" spans="1:25" ht="21" customHeight="1">
      <c r="A30" s="886"/>
      <c r="B30" s="888" t="str">
        <f>IF(O5="","","2) Enlever l'Éléphant ")</f>
        <v/>
      </c>
      <c r="C30" s="888"/>
      <c r="D30" s="888"/>
      <c r="E30" s="888"/>
      <c r="F30" s="888"/>
      <c r="G30" s="888"/>
      <c r="H30" s="888"/>
      <c r="I30" s="888"/>
      <c r="J30" s="888"/>
      <c r="K30" s="888"/>
      <c r="L30" s="888"/>
      <c r="M30" s="885"/>
      <c r="N30" s="888"/>
      <c r="O30" s="888"/>
      <c r="P30" s="888"/>
      <c r="Q30" s="888"/>
      <c r="R30" s="888"/>
      <c r="S30" s="888"/>
      <c r="T30" s="888"/>
      <c r="U30" s="888"/>
      <c r="V30" s="888"/>
      <c r="W30" s="888"/>
      <c r="X30" s="888"/>
      <c r="Y30" s="889"/>
    </row>
    <row r="31" spans="1:25" ht="21" customHeight="1">
      <c r="A31" s="886"/>
      <c r="B31" s="888"/>
      <c r="C31" s="888"/>
      <c r="D31" s="888"/>
      <c r="E31" s="888"/>
      <c r="F31" s="888"/>
      <c r="G31" s="888"/>
      <c r="H31" s="888"/>
      <c r="I31" s="888"/>
      <c r="J31" s="888"/>
      <c r="K31" s="888"/>
      <c r="L31" s="888"/>
      <c r="M31" s="885"/>
      <c r="N31" s="888"/>
      <c r="O31" s="888"/>
      <c r="P31" s="888"/>
      <c r="Q31" s="888"/>
      <c r="R31" s="888"/>
      <c r="S31" s="888"/>
      <c r="T31" s="888"/>
      <c r="U31" s="888"/>
      <c r="V31" s="888"/>
      <c r="W31" s="888"/>
      <c r="X31" s="888"/>
      <c r="Y31" s="889"/>
    </row>
    <row r="32" spans="1:25" ht="21" customHeight="1">
      <c r="A32" s="886"/>
      <c r="B32" s="888" t="str">
        <f>IF(O5="","","3) Mettre la Girafe")</f>
        <v/>
      </c>
      <c r="C32" s="888"/>
      <c r="D32" s="888"/>
      <c r="E32" s="888"/>
      <c r="F32" s="888"/>
      <c r="G32" s="888"/>
      <c r="H32" s="888"/>
      <c r="I32" s="888"/>
      <c r="J32" s="888"/>
      <c r="K32" s="888"/>
      <c r="L32" s="888"/>
      <c r="M32" s="885"/>
      <c r="N32" s="426" t="str">
        <f>IF(AND(O27&lt;&gt;"",N26&lt;&gt;""),B16,"")</f>
        <v/>
      </c>
      <c r="O32" s="881"/>
      <c r="P32" s="881"/>
      <c r="Q32" s="881"/>
      <c r="R32" s="881"/>
      <c r="S32" s="881"/>
      <c r="T32" s="881"/>
      <c r="U32" s="881"/>
      <c r="V32" s="881"/>
      <c r="W32" s="881"/>
      <c r="X32" s="881"/>
      <c r="Y32" s="889"/>
    </row>
    <row r="33" spans="1:25" ht="21" customHeight="1">
      <c r="A33" s="886"/>
      <c r="B33" s="888"/>
      <c r="C33" s="888"/>
      <c r="D33" s="888"/>
      <c r="E33" s="888"/>
      <c r="F33" s="888"/>
      <c r="G33" s="888"/>
      <c r="H33" s="888"/>
      <c r="I33" s="888"/>
      <c r="J33" s="888"/>
      <c r="K33" s="888"/>
      <c r="L33" s="888"/>
      <c r="M33" s="885"/>
      <c r="N33" s="890"/>
      <c r="O33" s="890"/>
      <c r="P33" s="890"/>
      <c r="Q33" s="890"/>
      <c r="R33" s="890"/>
      <c r="S33" s="890"/>
      <c r="T33" s="890"/>
      <c r="U33" s="890"/>
      <c r="V33" s="890"/>
      <c r="W33" s="890"/>
      <c r="X33" s="890"/>
      <c r="Y33" s="889"/>
    </row>
    <row r="34" spans="1:25" ht="21" customHeight="1">
      <c r="A34" s="886"/>
      <c r="B34" s="888" t="str">
        <f>IF(O5="","","4) Fermer le frigo")</f>
        <v/>
      </c>
      <c r="C34" s="888"/>
      <c r="D34" s="888"/>
      <c r="E34" s="888"/>
      <c r="F34" s="888"/>
      <c r="G34" s="888"/>
      <c r="H34" s="888"/>
      <c r="I34" s="888"/>
      <c r="J34" s="888"/>
      <c r="K34" s="888"/>
      <c r="L34" s="888"/>
      <c r="M34" s="885"/>
      <c r="N34" s="890"/>
      <c r="O34" s="890"/>
      <c r="P34" s="890"/>
      <c r="Q34" s="890"/>
      <c r="R34" s="890"/>
      <c r="S34" s="890"/>
      <c r="T34" s="890"/>
      <c r="U34" s="890"/>
      <c r="V34" s="890"/>
      <c r="W34" s="890"/>
      <c r="X34" s="890"/>
      <c r="Y34" s="889"/>
    </row>
    <row r="35" spans="1:25" ht="21" customHeight="1">
      <c r="A35" s="886"/>
      <c r="B35" s="888"/>
      <c r="C35" s="888"/>
      <c r="D35" s="888"/>
      <c r="E35" s="888"/>
      <c r="F35" s="888"/>
      <c r="G35" s="888"/>
      <c r="H35" s="888"/>
      <c r="I35" s="888"/>
      <c r="J35" s="888"/>
      <c r="K35" s="888"/>
      <c r="L35" s="888"/>
      <c r="M35" s="885"/>
      <c r="N35" s="890"/>
      <c r="O35" s="890"/>
      <c r="P35" s="890"/>
      <c r="Q35" s="890"/>
      <c r="R35" s="890"/>
      <c r="S35" s="890"/>
      <c r="T35" s="890"/>
      <c r="U35" s="890"/>
      <c r="V35" s="890"/>
      <c r="W35" s="890"/>
      <c r="X35" s="890"/>
      <c r="Y35" s="889"/>
    </row>
    <row r="36" spans="1:25" ht="15.75">
      <c r="A36" s="886"/>
      <c r="B36" s="426" t="str">
        <f>IF(AND(C26&lt;&gt;"",B25&lt;&gt;""),B16,"")</f>
        <v/>
      </c>
      <c r="C36" s="883"/>
      <c r="D36" s="883"/>
      <c r="E36" s="883"/>
      <c r="F36" s="883"/>
      <c r="G36" s="883"/>
      <c r="H36" s="883"/>
      <c r="I36" s="883"/>
      <c r="J36" s="883"/>
      <c r="K36" s="883"/>
      <c r="L36" s="883"/>
      <c r="M36" s="885"/>
      <c r="N36" s="890"/>
      <c r="O36" s="890"/>
      <c r="P36" s="890"/>
      <c r="Q36" s="890"/>
      <c r="R36" s="890"/>
      <c r="S36" s="890"/>
      <c r="T36" s="890"/>
      <c r="U36" s="890"/>
      <c r="V36" s="890"/>
      <c r="W36" s="890"/>
      <c r="X36" s="890"/>
      <c r="Y36" s="889"/>
    </row>
    <row r="37" spans="1:25" ht="21" customHeight="1">
      <c r="A37" s="886"/>
      <c r="B37" s="883"/>
      <c r="C37" s="883"/>
      <c r="D37" s="883"/>
      <c r="E37" s="883"/>
      <c r="F37" s="883"/>
      <c r="G37" s="883"/>
      <c r="H37" s="883"/>
      <c r="I37" s="883"/>
      <c r="J37" s="883"/>
      <c r="K37" s="883"/>
      <c r="L37" s="883"/>
      <c r="M37" s="885"/>
      <c r="N37" s="890"/>
      <c r="O37" s="890"/>
      <c r="P37" s="890"/>
      <c r="Q37" s="890"/>
      <c r="R37" s="890"/>
      <c r="S37" s="890"/>
      <c r="T37" s="890"/>
      <c r="U37" s="890"/>
      <c r="V37" s="890"/>
      <c r="W37" s="890"/>
      <c r="X37" s="890"/>
      <c r="Y37" s="889"/>
    </row>
    <row r="38" spans="1:25" ht="15.75">
      <c r="A38" s="886"/>
      <c r="B38" s="886"/>
      <c r="C38" s="886"/>
      <c r="D38" s="886"/>
      <c r="E38" s="886"/>
      <c r="F38" s="886"/>
      <c r="G38" s="886"/>
      <c r="H38" s="886"/>
      <c r="I38" s="886"/>
      <c r="J38" s="886"/>
      <c r="K38" s="886"/>
      <c r="L38" s="886"/>
      <c r="M38" s="886"/>
      <c r="N38" s="886"/>
      <c r="O38" s="886"/>
      <c r="P38" s="886"/>
      <c r="Q38" s="886"/>
      <c r="R38" s="886"/>
      <c r="S38" s="886"/>
      <c r="T38" s="886"/>
      <c r="U38" s="886"/>
      <c r="V38" s="886"/>
      <c r="W38" s="886"/>
      <c r="X38" s="886"/>
      <c r="Y38" s="889"/>
    </row>
    <row r="39" spans="1:25" ht="15" hidden="1" customHeight="1"/>
    <row r="40" spans="1:25" ht="15" hidden="1" customHeight="1"/>
    <row r="41" spans="1:25" ht="15" hidden="1" customHeight="1"/>
    <row r="42" spans="1:25" ht="15" hidden="1" customHeight="1"/>
    <row r="43" spans="1:25" ht="15" hidden="1" customHeight="1"/>
    <row r="44" spans="1:25" ht="15" hidden="1" customHeight="1"/>
    <row r="45" spans="1:25" ht="15" hidden="1" customHeight="1">
      <c r="A45" s="458"/>
      <c r="B45" s="458"/>
      <c r="C45" s="458"/>
      <c r="D45" s="458"/>
      <c r="E45" s="458"/>
      <c r="F45" s="458"/>
      <c r="G45" s="458"/>
      <c r="H45" s="458"/>
      <c r="I45" s="458"/>
      <c r="J45" s="458"/>
      <c r="K45" s="458"/>
      <c r="L45" s="458"/>
      <c r="M45" s="458"/>
      <c r="N45" s="458"/>
      <c r="O45" s="458"/>
      <c r="P45" s="458"/>
      <c r="Q45" s="458"/>
      <c r="R45" s="458"/>
      <c r="S45" s="458"/>
      <c r="T45" s="458"/>
      <c r="U45" s="458"/>
      <c r="V45" s="458"/>
      <c r="W45" s="458"/>
      <c r="X45" s="458"/>
    </row>
    <row r="46" spans="1:25" s="460" customFormat="1" ht="15" hidden="1" customHeight="1">
      <c r="A46" s="459"/>
      <c r="B46" s="878" t="s">
        <v>280</v>
      </c>
      <c r="C46" s="878"/>
      <c r="D46" s="878"/>
      <c r="E46" s="878"/>
      <c r="F46" s="878"/>
      <c r="G46" s="878"/>
      <c r="H46" s="878"/>
      <c r="I46" s="878"/>
      <c r="J46" s="878"/>
      <c r="K46" s="878"/>
      <c r="L46" s="878"/>
      <c r="M46" s="878"/>
      <c r="N46" s="878"/>
      <c r="O46" s="878"/>
      <c r="P46" s="878"/>
      <c r="Q46" s="878"/>
      <c r="R46" s="878"/>
      <c r="S46" s="878"/>
      <c r="T46" s="878"/>
      <c r="U46" s="878"/>
      <c r="V46" s="878"/>
      <c r="W46" s="878"/>
      <c r="X46" s="878"/>
    </row>
    <row r="47" spans="1:25" s="460" customFormat="1" ht="15" hidden="1" customHeight="1">
      <c r="A47" s="459"/>
      <c r="B47" s="459"/>
      <c r="C47" s="459"/>
      <c r="D47" s="459"/>
      <c r="E47" s="459"/>
      <c r="F47" s="459"/>
      <c r="G47" s="459"/>
      <c r="H47" s="459"/>
      <c r="I47" s="459"/>
      <c r="J47" s="459"/>
      <c r="K47" s="459"/>
      <c r="L47" s="459"/>
      <c r="M47" s="459"/>
      <c r="N47" s="459"/>
      <c r="O47" s="459"/>
      <c r="P47" s="459"/>
      <c r="Q47" s="459"/>
      <c r="R47" s="459"/>
      <c r="S47" s="459"/>
      <c r="T47" s="459"/>
      <c r="U47" s="459"/>
      <c r="V47" s="459"/>
      <c r="W47" s="459"/>
      <c r="X47" s="459"/>
    </row>
    <row r="48" spans="1:25" s="460" customFormat="1" hidden="1">
      <c r="A48" s="461"/>
      <c r="B48" s="878" t="s">
        <v>284</v>
      </c>
      <c r="C48" s="878"/>
      <c r="D48" s="878"/>
      <c r="E48" s="878"/>
      <c r="F48" s="878"/>
      <c r="G48" s="878"/>
      <c r="H48" s="878"/>
      <c r="I48" s="878"/>
      <c r="J48" s="878"/>
      <c r="K48" s="878"/>
      <c r="L48" s="878"/>
      <c r="M48" s="878"/>
      <c r="N48" s="878"/>
      <c r="O48" s="878"/>
      <c r="P48" s="878"/>
      <c r="Q48" s="878"/>
      <c r="R48" s="878"/>
      <c r="S48" s="878"/>
      <c r="T48" s="878"/>
      <c r="U48" s="878"/>
      <c r="V48" s="878"/>
      <c r="W48" s="878"/>
      <c r="X48" s="878"/>
    </row>
    <row r="49" spans="1:24" s="460" customFormat="1" hidden="1">
      <c r="A49" s="461"/>
      <c r="B49" s="461"/>
      <c r="C49" s="461"/>
      <c r="D49" s="461"/>
      <c r="E49" s="461"/>
      <c r="F49" s="461"/>
      <c r="G49" s="461"/>
      <c r="H49" s="461"/>
      <c r="I49" s="461"/>
      <c r="J49" s="461"/>
      <c r="K49" s="461"/>
      <c r="L49" s="461"/>
      <c r="M49" s="461"/>
      <c r="N49" s="461"/>
      <c r="O49" s="461"/>
      <c r="P49" s="461"/>
      <c r="Q49" s="461"/>
      <c r="R49" s="461"/>
      <c r="S49" s="461"/>
      <c r="T49" s="461"/>
      <c r="U49" s="461"/>
      <c r="V49" s="461"/>
      <c r="W49" s="461"/>
      <c r="X49" s="461"/>
    </row>
    <row r="50" spans="1:24" s="460" customFormat="1" hidden="1">
      <c r="A50" s="461"/>
      <c r="B50" s="878" t="s">
        <v>279</v>
      </c>
      <c r="C50" s="878"/>
      <c r="D50" s="878"/>
      <c r="E50" s="878"/>
      <c r="F50" s="878"/>
      <c r="G50" s="878"/>
      <c r="H50" s="878"/>
      <c r="I50" s="878"/>
      <c r="J50" s="878"/>
      <c r="K50" s="878"/>
      <c r="L50" s="878"/>
      <c r="M50" s="878"/>
      <c r="N50" s="878"/>
      <c r="O50" s="878"/>
      <c r="P50" s="878"/>
      <c r="Q50" s="878"/>
      <c r="R50" s="878"/>
      <c r="S50" s="878"/>
      <c r="T50" s="878"/>
      <c r="U50" s="878"/>
      <c r="V50" s="878"/>
      <c r="W50" s="878"/>
      <c r="X50" s="878"/>
    </row>
    <row r="51" spans="1:24" s="460" customFormat="1" hidden="1">
      <c r="A51" s="461"/>
      <c r="B51" s="461"/>
      <c r="C51" s="461"/>
      <c r="D51" s="461"/>
      <c r="E51" s="461"/>
      <c r="F51" s="461"/>
      <c r="G51" s="461"/>
      <c r="H51" s="461"/>
      <c r="I51" s="461"/>
      <c r="J51" s="461"/>
      <c r="K51" s="461"/>
      <c r="L51" s="461"/>
      <c r="M51" s="461"/>
      <c r="N51" s="461"/>
      <c r="O51" s="461"/>
      <c r="P51" s="461"/>
      <c r="Q51" s="461"/>
      <c r="R51" s="461"/>
      <c r="S51" s="461"/>
      <c r="T51" s="461"/>
      <c r="U51" s="461"/>
      <c r="V51" s="461"/>
      <c r="W51" s="461"/>
      <c r="X51" s="461"/>
    </row>
    <row r="52" spans="1:24" s="460" customFormat="1" hidden="1">
      <c r="A52" s="461"/>
      <c r="B52" s="878" t="s">
        <v>285</v>
      </c>
      <c r="C52" s="878"/>
      <c r="D52" s="878"/>
      <c r="E52" s="878"/>
      <c r="F52" s="878"/>
      <c r="G52" s="878"/>
      <c r="H52" s="878"/>
      <c r="I52" s="878"/>
      <c r="J52" s="878"/>
      <c r="K52" s="878"/>
      <c r="L52" s="878"/>
      <c r="M52" s="878"/>
      <c r="N52" s="878"/>
      <c r="O52" s="878"/>
      <c r="P52" s="878"/>
      <c r="Q52" s="878"/>
      <c r="R52" s="878"/>
      <c r="S52" s="878"/>
      <c r="T52" s="878"/>
      <c r="U52" s="878"/>
      <c r="V52" s="878"/>
      <c r="W52" s="878"/>
      <c r="X52" s="878"/>
    </row>
    <row r="53" spans="1:24" s="460" customFormat="1" hidden="1">
      <c r="A53" s="461"/>
      <c r="B53" s="461"/>
      <c r="C53" s="461"/>
      <c r="D53" s="461"/>
      <c r="E53" s="461"/>
      <c r="F53" s="461"/>
      <c r="G53" s="461"/>
      <c r="H53" s="461"/>
      <c r="I53" s="461"/>
      <c r="J53" s="461"/>
      <c r="K53" s="461"/>
      <c r="L53" s="461"/>
      <c r="M53" s="461"/>
      <c r="N53" s="461"/>
      <c r="O53" s="461"/>
      <c r="P53" s="461"/>
      <c r="Q53" s="461"/>
      <c r="R53" s="461"/>
      <c r="S53" s="461"/>
      <c r="T53" s="461"/>
      <c r="U53" s="461"/>
      <c r="V53" s="461"/>
      <c r="W53" s="461"/>
      <c r="X53" s="461"/>
    </row>
    <row r="54" spans="1:24" s="460" customFormat="1" hidden="1">
      <c r="A54" s="461"/>
      <c r="B54" s="878" t="s">
        <v>281</v>
      </c>
      <c r="C54" s="878"/>
      <c r="D54" s="878"/>
      <c r="E54" s="878"/>
      <c r="F54" s="878"/>
      <c r="G54" s="878"/>
      <c r="H54" s="878"/>
      <c r="I54" s="878"/>
      <c r="J54" s="878"/>
      <c r="K54" s="878"/>
      <c r="L54" s="878"/>
      <c r="M54" s="878"/>
      <c r="N54" s="878"/>
      <c r="O54" s="878"/>
      <c r="P54" s="878"/>
      <c r="Q54" s="878"/>
      <c r="R54" s="878"/>
      <c r="S54" s="878"/>
      <c r="T54" s="878"/>
      <c r="U54" s="878"/>
      <c r="V54" s="878"/>
      <c r="W54" s="878"/>
      <c r="X54" s="878"/>
    </row>
    <row r="55" spans="1:24" s="460" customFormat="1" hidden="1">
      <c r="A55" s="461"/>
      <c r="B55" s="461"/>
      <c r="C55" s="461"/>
      <c r="D55" s="461"/>
      <c r="E55" s="461"/>
      <c r="F55" s="461"/>
      <c r="G55" s="461"/>
      <c r="H55" s="461"/>
      <c r="I55" s="461"/>
      <c r="J55" s="461"/>
      <c r="K55" s="461"/>
      <c r="L55" s="461"/>
      <c r="M55" s="461"/>
      <c r="N55" s="461"/>
      <c r="O55" s="461"/>
      <c r="P55" s="461"/>
      <c r="Q55" s="461"/>
      <c r="R55" s="461"/>
      <c r="S55" s="461"/>
      <c r="T55" s="461"/>
      <c r="U55" s="461"/>
      <c r="V55" s="461"/>
      <c r="W55" s="461"/>
      <c r="X55" s="461"/>
    </row>
    <row r="56" spans="1:24" s="460" customFormat="1" hidden="1">
      <c r="A56" s="461"/>
      <c r="B56" s="878" t="s">
        <v>468</v>
      </c>
      <c r="C56" s="878"/>
      <c r="D56" s="878"/>
      <c r="E56" s="878"/>
      <c r="F56" s="878"/>
      <c r="G56" s="878"/>
      <c r="H56" s="878"/>
      <c r="I56" s="878"/>
      <c r="J56" s="878"/>
      <c r="K56" s="878"/>
      <c r="L56" s="878"/>
      <c r="M56" s="878"/>
      <c r="N56" s="878"/>
      <c r="O56" s="878"/>
      <c r="P56" s="878"/>
      <c r="Q56" s="878"/>
      <c r="R56" s="878"/>
      <c r="S56" s="878"/>
      <c r="T56" s="878"/>
      <c r="U56" s="878"/>
      <c r="V56" s="878"/>
      <c r="W56" s="878"/>
      <c r="X56" s="878"/>
    </row>
    <row r="57" spans="1:24" s="460" customFormat="1" hidden="1">
      <c r="A57" s="461"/>
      <c r="B57" s="461"/>
      <c r="C57" s="461"/>
      <c r="D57" s="461"/>
      <c r="E57" s="461"/>
      <c r="F57" s="461"/>
      <c r="G57" s="461"/>
      <c r="H57" s="461"/>
      <c r="I57" s="461"/>
      <c r="J57" s="461"/>
      <c r="K57" s="461"/>
      <c r="L57" s="461"/>
      <c r="M57" s="461"/>
      <c r="N57" s="461"/>
      <c r="O57" s="461"/>
      <c r="P57" s="461"/>
      <c r="Q57" s="461"/>
      <c r="R57" s="461"/>
      <c r="S57" s="461"/>
      <c r="T57" s="461"/>
      <c r="U57" s="461"/>
      <c r="V57" s="461"/>
      <c r="W57" s="461"/>
      <c r="X57" s="461"/>
    </row>
    <row r="58" spans="1:24" s="460" customFormat="1" hidden="1">
      <c r="A58" s="461"/>
      <c r="B58" s="878" t="s">
        <v>282</v>
      </c>
      <c r="C58" s="878"/>
      <c r="D58" s="878"/>
      <c r="E58" s="878"/>
      <c r="F58" s="878"/>
      <c r="G58" s="878"/>
      <c r="H58" s="878"/>
      <c r="I58" s="878"/>
      <c r="J58" s="878"/>
      <c r="K58" s="878"/>
      <c r="L58" s="878"/>
      <c r="M58" s="878"/>
      <c r="N58" s="878"/>
      <c r="O58" s="878"/>
      <c r="P58" s="878"/>
      <c r="Q58" s="878"/>
      <c r="R58" s="878"/>
      <c r="S58" s="878"/>
      <c r="T58" s="878"/>
      <c r="U58" s="878"/>
      <c r="V58" s="878"/>
      <c r="W58" s="878"/>
      <c r="X58" s="878"/>
    </row>
    <row r="59" spans="1:24" s="460" customFormat="1" hidden="1">
      <c r="A59" s="461"/>
      <c r="B59" s="461"/>
      <c r="C59" s="461"/>
      <c r="D59" s="461"/>
      <c r="E59" s="461"/>
      <c r="F59" s="461"/>
      <c r="G59" s="461"/>
      <c r="H59" s="461"/>
      <c r="I59" s="461"/>
      <c r="J59" s="461"/>
      <c r="K59" s="461"/>
      <c r="L59" s="461"/>
      <c r="M59" s="461"/>
      <c r="N59" s="461"/>
      <c r="O59" s="461"/>
      <c r="P59" s="461"/>
      <c r="Q59" s="461"/>
      <c r="R59" s="461"/>
      <c r="S59" s="461"/>
      <c r="T59" s="461"/>
      <c r="U59" s="461"/>
      <c r="V59" s="461"/>
      <c r="W59" s="461"/>
      <c r="X59" s="461"/>
    </row>
    <row r="60" spans="1:24" s="460" customFormat="1" hidden="1">
      <c r="A60" s="461"/>
      <c r="B60" s="878" t="s">
        <v>283</v>
      </c>
      <c r="C60" s="878"/>
      <c r="D60" s="878"/>
      <c r="E60" s="878"/>
      <c r="F60" s="878"/>
      <c r="G60" s="878"/>
      <c r="H60" s="878"/>
      <c r="I60" s="878"/>
      <c r="J60" s="878"/>
      <c r="K60" s="878"/>
      <c r="L60" s="878"/>
      <c r="M60" s="878"/>
      <c r="N60" s="878"/>
      <c r="O60" s="878"/>
      <c r="P60" s="878"/>
      <c r="Q60" s="878"/>
      <c r="R60" s="878"/>
      <c r="S60" s="878"/>
      <c r="T60" s="878"/>
      <c r="U60" s="878"/>
      <c r="V60" s="878"/>
      <c r="W60" s="878"/>
      <c r="X60" s="878"/>
    </row>
    <row r="61" spans="1:24" s="460" customFormat="1" hidden="1">
      <c r="A61" s="461"/>
      <c r="B61" s="461"/>
      <c r="C61" s="461"/>
      <c r="D61" s="461"/>
      <c r="E61" s="461"/>
      <c r="F61" s="461"/>
      <c r="G61" s="461"/>
      <c r="H61" s="461"/>
      <c r="I61" s="461"/>
      <c r="J61" s="461"/>
      <c r="K61" s="461"/>
      <c r="L61" s="461"/>
      <c r="M61" s="461"/>
      <c r="N61" s="461"/>
      <c r="O61" s="461"/>
      <c r="P61" s="461"/>
      <c r="Q61" s="461"/>
      <c r="R61" s="461"/>
      <c r="S61" s="461"/>
      <c r="T61" s="461"/>
      <c r="U61" s="461"/>
      <c r="V61" s="461"/>
      <c r="W61" s="461"/>
      <c r="X61" s="461"/>
    </row>
    <row r="62" spans="1:24" s="460" customFormat="1" hidden="1">
      <c r="A62" s="461"/>
      <c r="B62" s="461"/>
      <c r="C62" s="461"/>
      <c r="D62" s="461"/>
      <c r="E62" s="461"/>
      <c r="F62" s="461"/>
      <c r="G62" s="461"/>
      <c r="H62" s="461"/>
      <c r="I62" s="461"/>
      <c r="J62" s="461"/>
      <c r="K62" s="461"/>
      <c r="L62" s="461"/>
      <c r="M62" s="461"/>
      <c r="N62" s="461"/>
      <c r="O62" s="461"/>
      <c r="P62" s="461"/>
      <c r="Q62" s="461"/>
      <c r="R62" s="461"/>
      <c r="S62" s="461"/>
      <c r="T62" s="461"/>
      <c r="U62" s="461"/>
      <c r="V62" s="461"/>
      <c r="W62" s="461"/>
      <c r="X62" s="461"/>
    </row>
  </sheetData>
  <sheetProtection password="8B0A" sheet="1" objects="1" scenarios="1"/>
  <mergeCells count="56">
    <mergeCell ref="B60:X60"/>
    <mergeCell ref="Y1:Y38"/>
    <mergeCell ref="B58:X58"/>
    <mergeCell ref="N23:X25"/>
    <mergeCell ref="N29:X31"/>
    <mergeCell ref="O32:X32"/>
    <mergeCell ref="N33:X37"/>
    <mergeCell ref="B37:L37"/>
    <mergeCell ref="C36:L36"/>
    <mergeCell ref="B28:L29"/>
    <mergeCell ref="B30:L31"/>
    <mergeCell ref="B32:L33"/>
    <mergeCell ref="B34:L35"/>
    <mergeCell ref="N28:X28"/>
    <mergeCell ref="C26:L26"/>
    <mergeCell ref="O10:X10"/>
    <mergeCell ref="B23:L24"/>
    <mergeCell ref="N22:X22"/>
    <mergeCell ref="O19:X19"/>
    <mergeCell ref="O11:X11"/>
    <mergeCell ref="N3:X4"/>
    <mergeCell ref="N7:X9"/>
    <mergeCell ref="N13:X13"/>
    <mergeCell ref="N14:X18"/>
    <mergeCell ref="A1:A38"/>
    <mergeCell ref="C17:L17"/>
    <mergeCell ref="B46:X46"/>
    <mergeCell ref="B48:X48"/>
    <mergeCell ref="B12:L12"/>
    <mergeCell ref="B18:L18"/>
    <mergeCell ref="B27:L27"/>
    <mergeCell ref="B13:L15"/>
    <mergeCell ref="B1:X1"/>
    <mergeCell ref="O26:X26"/>
    <mergeCell ref="B2:L2"/>
    <mergeCell ref="N2:X2"/>
    <mergeCell ref="O5:X5"/>
    <mergeCell ref="N12:X12"/>
    <mergeCell ref="B3:L9"/>
    <mergeCell ref="B19:L20"/>
    <mergeCell ref="B56:X56"/>
    <mergeCell ref="N6:X6"/>
    <mergeCell ref="O20:X20"/>
    <mergeCell ref="N21:X21"/>
    <mergeCell ref="O27:X27"/>
    <mergeCell ref="C25:L25"/>
    <mergeCell ref="C10:L10"/>
    <mergeCell ref="B11:L11"/>
    <mergeCell ref="C16:L16"/>
    <mergeCell ref="B50:X50"/>
    <mergeCell ref="B52:X52"/>
    <mergeCell ref="B54:X54"/>
    <mergeCell ref="M2:M12"/>
    <mergeCell ref="M13:M37"/>
    <mergeCell ref="B38:X38"/>
    <mergeCell ref="B21:L22"/>
  </mergeCells>
  <conditionalFormatting sqref="B16">
    <cfRule type="expression" dxfId="122" priority="8">
      <formula>$C$17&lt;&gt;""</formula>
    </cfRule>
  </conditionalFormatting>
  <conditionalFormatting sqref="B25">
    <cfRule type="expression" dxfId="121" priority="7">
      <formula>$C$26&lt;&gt;""</formula>
    </cfRule>
  </conditionalFormatting>
  <conditionalFormatting sqref="B36">
    <cfRule type="expression" dxfId="120" priority="6">
      <formula>$O$5&lt;&gt;""</formula>
    </cfRule>
  </conditionalFormatting>
  <conditionalFormatting sqref="N10">
    <cfRule type="expression" dxfId="119" priority="5">
      <formula>$O$11&lt;&gt;""</formula>
    </cfRule>
  </conditionalFormatting>
  <conditionalFormatting sqref="N19">
    <cfRule type="expression" dxfId="118" priority="3">
      <formula>$O$20&lt;&gt;""</formula>
    </cfRule>
  </conditionalFormatting>
  <conditionalFormatting sqref="N26">
    <cfRule type="expression" dxfId="117" priority="2">
      <formula>$O$27&lt;&gt;""</formula>
    </cfRule>
  </conditionalFormatting>
  <conditionalFormatting sqref="N32">
    <cfRule type="expression" dxfId="116" priority="1">
      <formula>$N$33&lt;&gt;""</formula>
    </cfRule>
  </conditionalFormatting>
  <pageMargins left="0.7" right="0.7" top="0.75" bottom="0.75" header="0.3" footer="0.3"/>
  <pageSetup paperSize="9" orientation="portrait" r:id="rId1"/>
  <drawing r:id="rId2"/>
</worksheet>
</file>

<file path=xl/worksheets/sheet34.xml><?xml version="1.0" encoding="utf-8"?>
<worksheet xmlns="http://schemas.openxmlformats.org/spreadsheetml/2006/main" xmlns:r="http://schemas.openxmlformats.org/officeDocument/2006/relationships">
  <sheetPr codeName="Feuil34">
    <pageSetUpPr fitToPage="1"/>
  </sheetPr>
  <dimension ref="A1:K40"/>
  <sheetViews>
    <sheetView showGridLines="0" showRowColHeaders="0" workbookViewId="0">
      <selection sqref="A1:I1"/>
    </sheetView>
  </sheetViews>
  <sheetFormatPr baseColWidth="10" defaultColWidth="0" defaultRowHeight="15" zeroHeight="1"/>
  <cols>
    <col min="1" max="1" width="35.7109375" style="21" customWidth="1"/>
    <col min="2" max="2" width="9.7109375" style="21" customWidth="1"/>
    <col min="3" max="3" width="1.7109375" style="21" customWidth="1"/>
    <col min="4" max="4" width="35.7109375" style="21" customWidth="1"/>
    <col min="5" max="5" width="9.7109375" style="21" customWidth="1"/>
    <col min="6" max="6" width="1.7109375" style="21" customWidth="1"/>
    <col min="7" max="7" width="35.7109375" style="21" customWidth="1"/>
    <col min="8" max="8" width="9.7109375" style="21" customWidth="1"/>
    <col min="9" max="9" width="1.7109375" style="21" customWidth="1"/>
    <col min="10" max="10" width="11.42578125" style="21" hidden="1" customWidth="1"/>
    <col min="11" max="11" width="74.42578125" style="21" hidden="1" customWidth="1"/>
    <col min="12" max="16384" width="11.42578125" style="21" hidden="1"/>
  </cols>
  <sheetData>
    <row r="1" spans="1:11" s="379" customFormat="1" ht="43.5" customHeight="1">
      <c r="A1" s="896" t="s">
        <v>416</v>
      </c>
      <c r="B1" s="896"/>
      <c r="C1" s="896"/>
      <c r="D1" s="896"/>
      <c r="E1" s="896"/>
      <c r="F1" s="896"/>
      <c r="G1" s="896"/>
      <c r="H1" s="896"/>
      <c r="I1" s="896"/>
    </row>
    <row r="2" spans="1:11" s="380" customFormat="1" ht="32.25" customHeight="1">
      <c r="A2" s="895" t="s">
        <v>417</v>
      </c>
      <c r="B2" s="895"/>
      <c r="C2" s="895"/>
      <c r="D2" s="895"/>
      <c r="E2" s="895"/>
      <c r="F2" s="895"/>
      <c r="G2" s="895"/>
      <c r="H2" s="895"/>
      <c r="I2" s="895"/>
    </row>
    <row r="3" spans="1:11" ht="237" customHeight="1">
      <c r="A3" s="898">
        <f>IF(A5&lt;&gt;"saisir votre réponse ICI",1,0)</f>
        <v>0</v>
      </c>
      <c r="B3" s="898"/>
      <c r="D3" s="893">
        <f>IF(D5&lt;&gt;"saisir votre réponse ICI",1,0)</f>
        <v>0</v>
      </c>
      <c r="E3" s="893"/>
      <c r="G3" s="893">
        <f>IF(G5&lt;&gt;"saisir votre réponse ICI",1,0)</f>
        <v>0</v>
      </c>
      <c r="H3" s="893"/>
      <c r="K3" s="897"/>
    </row>
    <row r="4" spans="1:11">
      <c r="A4" s="891" t="s">
        <v>406</v>
      </c>
      <c r="B4" s="891"/>
      <c r="D4" s="891" t="s">
        <v>407</v>
      </c>
      <c r="E4" s="891"/>
      <c r="G4" s="891" t="s">
        <v>408</v>
      </c>
      <c r="H4" s="891"/>
      <c r="K4" s="897"/>
    </row>
    <row r="5" spans="1:11">
      <c r="A5" s="892" t="s">
        <v>418</v>
      </c>
      <c r="B5" s="892"/>
      <c r="D5" s="892" t="s">
        <v>418</v>
      </c>
      <c r="E5" s="892"/>
      <c r="G5" s="892" t="s">
        <v>418</v>
      </c>
      <c r="H5" s="892"/>
      <c r="K5" s="897"/>
    </row>
    <row r="6" spans="1:11">
      <c r="A6" s="43" t="str">
        <f>IF(AND(A5&lt;&gt;"",A5&lt;&gt;"saisir votre réponse ICI",A5&lt;&gt;0,A5&lt;&gt;40),"Il existe 5 types de carrés :",IF(A5=40,"Les 5 types de carrés sont…:",""))</f>
        <v/>
      </c>
      <c r="D6" s="43" t="str">
        <f>IF(AND(D5&lt;&gt;"",D5&lt;&gt;"saisir votre réponse ICI",D5&lt;&gt;0,D5&lt;&gt;13),"Il existe 3 types de triangles :",IF(D5=13,"Les 3 types de triangles sont…:",""))</f>
        <v/>
      </c>
      <c r="G6" s="43" t="str">
        <f>IF(AND(G5&lt;&gt;"",G5&lt;&gt;"saisir votre réponse ICI"),"Il n'y a pas de contours…","")</f>
        <v/>
      </c>
      <c r="K6" s="897"/>
    </row>
    <row r="7" spans="1:11">
      <c r="A7" s="21" t="str">
        <f>IF(A5=40," - 8 petits (1/2 coté)","")</f>
        <v/>
      </c>
      <c r="D7" s="21" t="str">
        <f>IF(D5=13," - 9 simples (1 coté)","")</f>
        <v/>
      </c>
      <c r="K7" s="897"/>
    </row>
    <row r="8" spans="1:11">
      <c r="A8" s="21" t="str">
        <f>IF(A5=40," - 18 simples (1 coté)","")</f>
        <v/>
      </c>
      <c r="D8" s="21" t="str">
        <f>IF(D5=13," - 3 doubles (2 cotés)","")</f>
        <v/>
      </c>
      <c r="K8" s="897"/>
    </row>
    <row r="9" spans="1:11">
      <c r="A9" s="21" t="str">
        <f>IF(A5=40," - 9 doubles (2 cotés)","")</f>
        <v/>
      </c>
      <c r="D9" s="21" t="str">
        <f>IF(D5=13," - 1 triples (3 cotés)","")</f>
        <v/>
      </c>
      <c r="K9" s="897"/>
    </row>
    <row r="10" spans="1:11">
      <c r="A10" s="21" t="str">
        <f>IF(A5=40," - 4 triples (3 cotés)","")</f>
        <v/>
      </c>
      <c r="K10" s="897"/>
    </row>
    <row r="11" spans="1:11">
      <c r="A11" s="21" t="str">
        <f>IF(A5=40," - 1 quadruple (4 cotés)","")</f>
        <v/>
      </c>
      <c r="K11" s="897"/>
    </row>
    <row r="12" spans="1:11">
      <c r="K12" s="897"/>
    </row>
    <row r="13" spans="1:11">
      <c r="K13" s="897"/>
    </row>
    <row r="14" spans="1:11" ht="6" customHeight="1">
      <c r="K14" s="897"/>
    </row>
    <row r="15" spans="1:11" ht="237" customHeight="1">
      <c r="A15" s="893">
        <f>IF(A17&lt;&gt;"saisir votre réponse ICI",1,0)</f>
        <v>0</v>
      </c>
      <c r="B15" s="893"/>
      <c r="D15" s="893">
        <f>IF(D17&lt;&gt;"saisir votre réponse ICI",1,0)</f>
        <v>0</v>
      </c>
      <c r="E15" s="893"/>
      <c r="G15" s="893">
        <f>IF(G17&lt;&gt;"saisir votre réponse ICI",1,0)</f>
        <v>0</v>
      </c>
      <c r="H15" s="893"/>
      <c r="K15" s="897"/>
    </row>
    <row r="16" spans="1:11">
      <c r="A16" s="891" t="s">
        <v>419</v>
      </c>
      <c r="B16" s="891"/>
      <c r="D16" s="891" t="s">
        <v>420</v>
      </c>
      <c r="E16" s="891"/>
      <c r="G16" s="891" t="s">
        <v>409</v>
      </c>
      <c r="H16" s="891"/>
      <c r="K16" s="897"/>
    </row>
    <row r="17" spans="1:11">
      <c r="A17" s="892" t="s">
        <v>418</v>
      </c>
      <c r="B17" s="892"/>
      <c r="D17" s="892" t="s">
        <v>418</v>
      </c>
      <c r="E17" s="892"/>
      <c r="G17" s="892" t="s">
        <v>418</v>
      </c>
      <c r="H17" s="892"/>
      <c r="K17" s="897"/>
    </row>
    <row r="18" spans="1:11">
      <c r="K18" s="897"/>
    </row>
    <row r="19" spans="1:11" ht="6" customHeight="1"/>
    <row r="20" spans="1:11" ht="237" customHeight="1">
      <c r="A20" s="893">
        <f>IF(A22&lt;&gt;"saisir votre réponse ICI",1,0)</f>
        <v>0</v>
      </c>
      <c r="B20" s="893"/>
      <c r="D20" s="893">
        <f>IF(D22&lt;&gt;"saisir votre réponse ICI",1,0)</f>
        <v>0</v>
      </c>
      <c r="E20" s="893"/>
      <c r="G20" s="893">
        <f>IF(G22&lt;&gt;"saisir votre réponse ICI",1,0)</f>
        <v>0</v>
      </c>
      <c r="H20" s="893"/>
    </row>
    <row r="21" spans="1:11">
      <c r="A21" s="899" t="s">
        <v>425</v>
      </c>
      <c r="B21" s="899"/>
      <c r="D21" s="891" t="s">
        <v>410</v>
      </c>
      <c r="E21" s="891"/>
      <c r="G21" s="891" t="s">
        <v>421</v>
      </c>
      <c r="H21" s="891"/>
    </row>
    <row r="22" spans="1:11">
      <c r="A22" s="892" t="s">
        <v>418</v>
      </c>
      <c r="B22" s="892"/>
      <c r="D22" s="892" t="s">
        <v>418</v>
      </c>
      <c r="E22" s="892"/>
      <c r="G22" s="892" t="s">
        <v>418</v>
      </c>
      <c r="H22" s="892"/>
    </row>
    <row r="23" spans="1:11"/>
    <row r="24" spans="1:11" ht="6" customHeight="1"/>
    <row r="25" spans="1:11" ht="237" customHeight="1">
      <c r="A25" s="893">
        <f>IF(A27&lt;&gt;"saisir votre réponse 1 ICI",1,0)</f>
        <v>0</v>
      </c>
      <c r="B25" s="893"/>
      <c r="D25" s="893">
        <f>IF(D27&lt;&gt;"saisir votre réponse 1 ICI",1,0)</f>
        <v>0</v>
      </c>
      <c r="E25" s="893"/>
      <c r="G25" s="893">
        <f>IF(G27&lt;&gt;"saisir votre réponse 1 ICI",1,0)</f>
        <v>0</v>
      </c>
      <c r="H25" s="893"/>
    </row>
    <row r="26" spans="1:11">
      <c r="A26" s="891" t="s">
        <v>422</v>
      </c>
      <c r="B26" s="891"/>
      <c r="D26" s="891" t="s">
        <v>422</v>
      </c>
      <c r="E26" s="891"/>
      <c r="G26" s="891" t="s">
        <v>422</v>
      </c>
      <c r="H26" s="891"/>
    </row>
    <row r="27" spans="1:11">
      <c r="A27" s="892" t="s">
        <v>423</v>
      </c>
      <c r="B27" s="892"/>
      <c r="D27" s="892" t="s">
        <v>423</v>
      </c>
      <c r="E27" s="892"/>
      <c r="G27" s="892" t="s">
        <v>423</v>
      </c>
      <c r="H27" s="892"/>
    </row>
    <row r="28" spans="1:11">
      <c r="A28" s="892" t="s">
        <v>424</v>
      </c>
      <c r="B28" s="892"/>
      <c r="D28" s="892" t="s">
        <v>424</v>
      </c>
      <c r="E28" s="892"/>
      <c r="G28" s="892" t="s">
        <v>424</v>
      </c>
      <c r="H28" s="892"/>
    </row>
    <row r="29" spans="1:11" ht="6" customHeight="1"/>
    <row r="30" spans="1:11" ht="237" customHeight="1">
      <c r="A30" s="893">
        <f>IF(A32&lt;&gt;"saisir votre réponse ICI",1,0)</f>
        <v>0</v>
      </c>
      <c r="B30" s="893"/>
      <c r="D30" s="893">
        <f>IF(D32&lt;&gt;"saisir votre réponse ICI",1,0)</f>
        <v>0</v>
      </c>
      <c r="E30" s="893"/>
      <c r="G30" s="893">
        <f>IF(G32&lt;&gt;"saisir votre réponse 1 ICI",1,0)</f>
        <v>0</v>
      </c>
      <c r="H30" s="893"/>
    </row>
    <row r="31" spans="1:11">
      <c r="A31" s="891" t="s">
        <v>428</v>
      </c>
      <c r="B31" s="891"/>
      <c r="D31" s="891" t="s">
        <v>428</v>
      </c>
      <c r="E31" s="891"/>
      <c r="G31" s="891" t="s">
        <v>422</v>
      </c>
      <c r="H31" s="891"/>
    </row>
    <row r="32" spans="1:11">
      <c r="A32" s="892" t="s">
        <v>418</v>
      </c>
      <c r="B32" s="892"/>
      <c r="D32" s="892" t="s">
        <v>418</v>
      </c>
      <c r="E32" s="892"/>
      <c r="G32" s="892" t="s">
        <v>423</v>
      </c>
      <c r="H32" s="892"/>
    </row>
    <row r="33" spans="1:8">
      <c r="G33" s="892" t="s">
        <v>424</v>
      </c>
      <c r="H33" s="892"/>
    </row>
    <row r="34" spans="1:8">
      <c r="G34" s="892" t="s">
        <v>427</v>
      </c>
      <c r="H34" s="892"/>
    </row>
    <row r="35" spans="1:8" ht="6" customHeight="1"/>
    <row r="36" spans="1:8" ht="237" customHeight="1">
      <c r="A36" s="893">
        <f>IF(A38&lt;&gt;"saisir votre réponse ICI",1,0)</f>
        <v>0</v>
      </c>
      <c r="B36" s="893"/>
      <c r="D36" s="893">
        <f>IF(D38&lt;&gt;"saisir votre réponse ICI",1,0)</f>
        <v>0</v>
      </c>
      <c r="E36" s="893"/>
      <c r="G36" s="893">
        <f>IF(G38&lt;&gt;"saisir votre réponse 1 ICI",1,0)</f>
        <v>0</v>
      </c>
      <c r="H36" s="893"/>
    </row>
    <row r="37" spans="1:8">
      <c r="A37" s="891" t="s">
        <v>426</v>
      </c>
      <c r="B37" s="891"/>
      <c r="D37" s="891" t="s">
        <v>430</v>
      </c>
      <c r="E37" s="891"/>
      <c r="G37" s="891" t="s">
        <v>422</v>
      </c>
      <c r="H37" s="891"/>
    </row>
    <row r="38" spans="1:8">
      <c r="A38" s="892" t="s">
        <v>418</v>
      </c>
      <c r="B38" s="892"/>
      <c r="D38" s="892" t="s">
        <v>418</v>
      </c>
      <c r="E38" s="892"/>
      <c r="G38" s="892" t="s">
        <v>423</v>
      </c>
      <c r="H38" s="892"/>
    </row>
    <row r="39" spans="1:8">
      <c r="D39" s="894" t="s">
        <v>431</v>
      </c>
      <c r="E39" s="894"/>
      <c r="G39" s="892" t="s">
        <v>424</v>
      </c>
      <c r="H39" s="892"/>
    </row>
    <row r="40" spans="1:8" ht="6" customHeight="1">
      <c r="A40" s="381">
        <f>SUM(A3+G3+D3+A15+D15+G15+A20+D20+G20+A25+D25+G25+A30+D30+G30+A36+D36+G36)</f>
        <v>0</v>
      </c>
    </row>
  </sheetData>
  <sheetProtection password="8B0A" sheet="1" objects="1" scenarios="1"/>
  <mergeCells count="64">
    <mergeCell ref="K3:K18"/>
    <mergeCell ref="A3:B3"/>
    <mergeCell ref="D3:E3"/>
    <mergeCell ref="G3:H3"/>
    <mergeCell ref="G37:H37"/>
    <mergeCell ref="G15:H15"/>
    <mergeCell ref="A4:B4"/>
    <mergeCell ref="D4:E4"/>
    <mergeCell ref="G4:H4"/>
    <mergeCell ref="D30:E30"/>
    <mergeCell ref="A30:B30"/>
    <mergeCell ref="A17:B17"/>
    <mergeCell ref="D17:E17"/>
    <mergeCell ref="G17:H17"/>
    <mergeCell ref="A21:B21"/>
    <mergeCell ref="A22:B22"/>
    <mergeCell ref="G38:H38"/>
    <mergeCell ref="A37:B37"/>
    <mergeCell ref="A38:B38"/>
    <mergeCell ref="A36:B36"/>
    <mergeCell ref="G26:H26"/>
    <mergeCell ref="G27:H27"/>
    <mergeCell ref="G28:H28"/>
    <mergeCell ref="A31:B31"/>
    <mergeCell ref="A32:B32"/>
    <mergeCell ref="A26:B26"/>
    <mergeCell ref="A27:B27"/>
    <mergeCell ref="A28:B28"/>
    <mergeCell ref="D26:E26"/>
    <mergeCell ref="D27:E27"/>
    <mergeCell ref="D28:E28"/>
    <mergeCell ref="G30:H30"/>
    <mergeCell ref="A2:I2"/>
    <mergeCell ref="A1:I1"/>
    <mergeCell ref="A25:B25"/>
    <mergeCell ref="D25:E25"/>
    <mergeCell ref="G25:H25"/>
    <mergeCell ref="G20:H20"/>
    <mergeCell ref="D20:E20"/>
    <mergeCell ref="A20:B20"/>
    <mergeCell ref="A5:B5"/>
    <mergeCell ref="D5:E5"/>
    <mergeCell ref="G5:H5"/>
    <mergeCell ref="A16:B16"/>
    <mergeCell ref="D16:E16"/>
    <mergeCell ref="G16:H16"/>
    <mergeCell ref="A15:B15"/>
    <mergeCell ref="D15:E15"/>
    <mergeCell ref="D21:E21"/>
    <mergeCell ref="G21:H21"/>
    <mergeCell ref="D22:E22"/>
    <mergeCell ref="G22:H22"/>
    <mergeCell ref="G39:H39"/>
    <mergeCell ref="G31:H31"/>
    <mergeCell ref="G32:H32"/>
    <mergeCell ref="G33:H33"/>
    <mergeCell ref="D31:E31"/>
    <mergeCell ref="D32:E32"/>
    <mergeCell ref="G34:H34"/>
    <mergeCell ref="D36:E36"/>
    <mergeCell ref="G36:H36"/>
    <mergeCell ref="D39:E39"/>
    <mergeCell ref="D37:E37"/>
    <mergeCell ref="D38:E38"/>
  </mergeCells>
  <conditionalFormatting sqref="A5:B5">
    <cfRule type="expression" dxfId="115" priority="73">
      <formula>$A$5="saisir votre réponse ICI"</formula>
    </cfRule>
    <cfRule type="expression" dxfId="114" priority="74">
      <formula>AND($A$5&lt;&gt;"",$A$5&lt;&gt;0,$A$5&lt;&gt;40)</formula>
    </cfRule>
    <cfRule type="expression" dxfId="113" priority="75">
      <formula>$A$5=40</formula>
    </cfRule>
  </conditionalFormatting>
  <conditionalFormatting sqref="D5:E5">
    <cfRule type="expression" dxfId="112" priority="70">
      <formula>$D$5="saisir votre réponse ICI"</formula>
    </cfRule>
    <cfRule type="expression" dxfId="111" priority="71">
      <formula>AND($D$5&lt;&gt;"",$D$5&lt;&gt;0,$D$5&lt;&gt;13)</formula>
    </cfRule>
    <cfRule type="expression" dxfId="110" priority="72">
      <formula>$D$5=13</formula>
    </cfRule>
  </conditionalFormatting>
  <conditionalFormatting sqref="A17:B17">
    <cfRule type="expression" dxfId="109" priority="64">
      <formula>$A$17="saisir votre réponse ICI"</formula>
    </cfRule>
    <cfRule type="expression" dxfId="108" priority="65">
      <formula>AND(A$17&lt;&gt;"",$A$17&lt;&gt;0,$A$17&lt;&gt;"aucun",$A$17&lt;&gt;"aucun des 2",$A$17&lt;&gt;"identique",$A$17="identiques")</formula>
    </cfRule>
    <cfRule type="expression" dxfId="107" priority="66">
      <formula>OR($A$17="aucun",$A$17=0,$A$17="identiques")</formula>
    </cfRule>
  </conditionalFormatting>
  <conditionalFormatting sqref="D17:E17">
    <cfRule type="expression" dxfId="106" priority="61">
      <formula>D17="saisir votre réponse ICI"</formula>
    </cfRule>
    <cfRule type="expression" dxfId="105" priority="62">
      <formula>AND(D17&lt;&gt;"",D17&lt;&gt;0,D17&lt;&gt;"aucun",D17&lt;&gt;"aucun des 2",D17="identiques")</formula>
    </cfRule>
    <cfRule type="expression" dxfId="104" priority="63">
      <formula>OR(D17="aucun",D17=0,D17="identiques")</formula>
    </cfRule>
  </conditionalFormatting>
  <conditionalFormatting sqref="D22:E22">
    <cfRule type="expression" dxfId="103" priority="58">
      <formula>D22="saisir votre réponse ICI"</formula>
    </cfRule>
    <cfRule type="expression" dxfId="102" priority="59">
      <formula>AND(D22&lt;&gt;"",D22&lt;&gt;"aucun",D22&lt;&gt;"aucun des 2",D22&lt;&gt;"identiques")</formula>
    </cfRule>
    <cfRule type="expression" dxfId="101" priority="60">
      <formula>OR(D22="aucun",D22="identiques",D22="identique")</formula>
    </cfRule>
  </conditionalFormatting>
  <conditionalFormatting sqref="G5:H5">
    <cfRule type="expression" dxfId="100" priority="55">
      <formula>G5="saisir votre réponse ICI"</formula>
    </cfRule>
    <cfRule type="expression" dxfId="99" priority="56">
      <formula>AND(G5&lt;&gt;"",G5&lt;&gt;0,G5&lt;&gt;"aucun")</formula>
    </cfRule>
    <cfRule type="expression" dxfId="98" priority="57">
      <formula>OR(G5="aucun",G5=0)</formula>
    </cfRule>
  </conditionalFormatting>
  <conditionalFormatting sqref="G17:H17">
    <cfRule type="expression" dxfId="97" priority="52">
      <formula>G17="saisir votre réponse ICI"</formula>
    </cfRule>
    <cfRule type="expression" dxfId="96" priority="53">
      <formula>OR($G$17="grises",AND(G17&lt;&gt;"",G17&lt;&gt;0,G17&lt;&gt;"aucun",$G$17&lt;&gt;"blanches"))</formula>
    </cfRule>
    <cfRule type="expression" dxfId="95" priority="54">
      <formula>OR(G17="aucun",$G$17="blanches")</formula>
    </cfRule>
  </conditionalFormatting>
  <conditionalFormatting sqref="A22:B22">
    <cfRule type="expression" dxfId="94" priority="49">
      <formula>A22="saisir votre réponse ICI"</formula>
    </cfRule>
    <cfRule type="expression" dxfId="93" priority="50">
      <formula>AND(A22&lt;&gt;"",$A$22&lt;&gt;"bleue")</formula>
    </cfRule>
    <cfRule type="expression" dxfId="92" priority="51">
      <formula>A22="bleue"</formula>
    </cfRule>
  </conditionalFormatting>
  <conditionalFormatting sqref="G22:H22">
    <cfRule type="expression" dxfId="91" priority="46">
      <formula>G22="saisir votre réponse ICI"</formula>
    </cfRule>
    <cfRule type="expression" dxfId="90" priority="47">
      <formula>AND(G22&lt;&gt;"",G22&lt;&gt;0,G22&lt;&gt;"identique",G22&lt;&gt;"identiques",G22&lt;&gt;"aucun",G22&lt;&gt;"aucuns")</formula>
    </cfRule>
    <cfRule type="expression" dxfId="89" priority="48">
      <formula>OR(G22="identique",G22="identiques",G22="aucun",G22="aucuns")</formula>
    </cfRule>
  </conditionalFormatting>
  <conditionalFormatting sqref="A38:B38">
    <cfRule type="expression" dxfId="88" priority="43">
      <formula>A38="saisir votre réponse ICI"</formula>
    </cfRule>
    <cfRule type="expression" dxfId="87" priority="44">
      <formula>AND(A38&lt;&gt;"",A38&lt;&gt;0,A38&lt;&gt;"aucune",A38&lt;&gt;"aucunes",A38&lt;&gt;"identiques",A38&lt;&gt;"identique")</formula>
    </cfRule>
    <cfRule type="expression" dxfId="86" priority="45">
      <formula>OR(A38="aucune",A38="aucunes",A38="identique",A38="identiques")</formula>
    </cfRule>
  </conditionalFormatting>
  <conditionalFormatting sqref="D32:E32">
    <cfRule type="expression" dxfId="85" priority="40">
      <formula>D32="saisir votre réponse ICI"</formula>
    </cfRule>
    <cfRule type="expression" dxfId="84" priority="41">
      <formula>AND(D32&lt;&gt;"",D32&lt;&gt;"un bébé",D32&lt;&gt;"un nourrisson")</formula>
    </cfRule>
    <cfRule type="expression" dxfId="83" priority="42">
      <formula>OR(D32="un bébé",D32="un nourrisson")</formula>
    </cfRule>
  </conditionalFormatting>
  <conditionalFormatting sqref="A32:B32">
    <cfRule type="expression" dxfId="82" priority="37">
      <formula>A32="saisir votre réponse ICI"</formula>
    </cfRule>
    <cfRule type="expression" dxfId="81" priority="38">
      <formula>AND(A32&lt;&gt;"",A32&lt;&gt;"un viaduc",$A$32&lt;&gt;"un aqueduc",A32&lt;&gt;"un pont")</formula>
    </cfRule>
    <cfRule type="expression" dxfId="80" priority="39">
      <formula>OR(A32="un viaduc",$A$32="un aqueduc",A32="un pont")</formula>
    </cfRule>
  </conditionalFormatting>
  <conditionalFormatting sqref="A27:B27">
    <cfRule type="expression" dxfId="79" priority="34">
      <formula>A27="saisir votre réponse 1 ICI"</formula>
    </cfRule>
    <cfRule type="expression" dxfId="78" priority="35">
      <formula>AND(A27&lt;&gt;"",A27&lt;&gt;"une montagne enneigée",A27&lt;&gt;"4 chevaux",A27&lt;&gt;"chevaux",A27&lt;&gt;"des chevaux",A27&lt;&gt;"4 chevaux et un poulain")</formula>
    </cfRule>
    <cfRule type="expression" dxfId="77" priority="36">
      <formula>OR(A27="une montagne enneigée",A27="des chevaux",A27="4 chevaux",A27="chevaux",A27="4 chevaux et un poulain")</formula>
    </cfRule>
  </conditionalFormatting>
  <conditionalFormatting sqref="A28:B28">
    <cfRule type="expression" dxfId="76" priority="31">
      <formula>A28="saisir votre réponse 2 ICI"</formula>
    </cfRule>
    <cfRule type="expression" dxfId="75" priority="32">
      <formula>OR(AND(A28&lt;&gt;"",A28&lt;&gt;"une montagne enneigée",A28&lt;&gt;"des chevaux",A28&lt;&gt;"4 chevaux",A28&lt;&gt;"chevaux",A28&lt;&gt;"4 chevaux et un poulain"),A28=A27)</formula>
    </cfRule>
    <cfRule type="expression" dxfId="74" priority="33">
      <formula>OR(A28="une montagne enneigée",A28="des chevaux",A28="4 chevaux",A28=" chevaux",A28="4 chevaux et un poulain")</formula>
    </cfRule>
  </conditionalFormatting>
  <conditionalFormatting sqref="D27:E27">
    <cfRule type="expression" dxfId="73" priority="28">
      <formula>D27="saisir votre réponse 1 ICI"</formula>
    </cfRule>
    <cfRule type="expression" dxfId="72" priority="29">
      <formula>AND(D27&lt;&gt;"",D27&lt;&gt;"une vieille dame",D27&lt;&gt;"une jeune femme")</formula>
    </cfRule>
    <cfRule type="expression" dxfId="71" priority="30">
      <formula>OR(D27="une vieille dame",D27="une jeune femme")</formula>
    </cfRule>
  </conditionalFormatting>
  <conditionalFormatting sqref="D28:E28">
    <cfRule type="expression" dxfId="70" priority="25">
      <formula>D28="saisir votre réponse 2 ICI"</formula>
    </cfRule>
    <cfRule type="expression" dxfId="69" priority="26">
      <formula>OR(AND(D28&lt;&gt;"",D28&lt;&gt;"une vieille dame",D28&lt;&gt;"une jeune femme"),D28=D27)</formula>
    </cfRule>
    <cfRule type="expression" dxfId="68" priority="27">
      <formula>OR(D28&lt;&gt;"une vieille dame",D28&lt;&gt;"une jeune femme")</formula>
    </cfRule>
  </conditionalFormatting>
  <conditionalFormatting sqref="G27:H27">
    <cfRule type="expression" dxfId="67" priority="22">
      <formula>G27="saisir votre réponse 1 ICI"</formula>
    </cfRule>
    <cfRule type="expression" dxfId="66" priority="23">
      <formula>AND(G27&lt;&gt;"",G27&lt;&gt;"un indien",G27&lt;&gt;"un esquimau")</formula>
    </cfRule>
    <cfRule type="expression" dxfId="65" priority="24">
      <formula>OR(G27="un indien",G27="un esquimau")</formula>
    </cfRule>
  </conditionalFormatting>
  <conditionalFormatting sqref="G28:H28">
    <cfRule type="expression" dxfId="64" priority="19">
      <formula>G28="saisir votre réponse 2 ICI"</formula>
    </cfRule>
    <cfRule type="expression" dxfId="63" priority="20">
      <formula>OR(AND(G28&lt;&gt;"",G28&lt;&gt;"un indien",G28&lt;&gt;"un esquimau"),G28=G27)</formula>
    </cfRule>
    <cfRule type="expression" dxfId="62" priority="21">
      <formula>OR(G28="un indien",G28="un esquimau")</formula>
    </cfRule>
  </conditionalFormatting>
  <conditionalFormatting sqref="G32:H32">
    <cfRule type="expression" dxfId="61" priority="16">
      <formula>G32="saisir votre réponse 1 ICI"</formula>
    </cfRule>
    <cfRule type="expression" dxfId="60" priority="17">
      <formula>AND(G32&lt;&gt;"",G32&lt;&gt;"un calice",G32&lt;&gt;"un graal",G32&lt;&gt;"2 hommes",G32&lt;&gt;"un couple de personnes âgées")</formula>
    </cfRule>
    <cfRule type="expression" dxfId="59" priority="18">
      <formula>OR(G32="un calice",G32="un graal",G32="2 hommes",G32="un couple de personnes âgées")</formula>
    </cfRule>
  </conditionalFormatting>
  <conditionalFormatting sqref="G33:H33">
    <cfRule type="expression" dxfId="58" priority="13">
      <formula>G33="saisir votre réponse 2 ICI"</formula>
    </cfRule>
    <cfRule type="expression" dxfId="57" priority="14">
      <formula>OR(AND(G33&lt;&gt;"",G33&lt;&gt;"un calice",G33&lt;&gt;"un graal",G33&lt;&gt;"2 hommes",G33&lt;&gt;"un couple de personnes âgées"),G33=G32)</formula>
    </cfRule>
    <cfRule type="expression" dxfId="56" priority="15">
      <formula>OR(G33="un calice",G33="un graal",G33="2 hommes",G33="un couple de personnes âgées")</formula>
    </cfRule>
  </conditionalFormatting>
  <conditionalFormatting sqref="G34:H34">
    <cfRule type="expression" dxfId="55" priority="10">
      <formula>G34="saisir votre réponse 3 ICI"</formula>
    </cfRule>
    <cfRule type="expression" dxfId="54" priority="11">
      <formula>OR(AND(G34&lt;&gt;"",G34&lt;&gt;"un calice",G34&lt;&gt;"un graal",G34&lt;&gt;"2 hommes",G34&lt;&gt;"un couple de personnes âgées"),$G$34=$G$32,G34=G33)</formula>
    </cfRule>
    <cfRule type="expression" dxfId="53" priority="12">
      <formula>OR(G34="un calice",G34="un graal",G34="2 hommes",G34="un couple de personnes âgées")</formula>
    </cfRule>
  </conditionalFormatting>
  <conditionalFormatting sqref="G38:H38">
    <cfRule type="expression" dxfId="52" priority="7">
      <formula>G38="saisir votre réponse 1 ICI"</formula>
    </cfRule>
    <cfRule type="expression" dxfId="51" priority="8">
      <formula>AND(G38&lt;&gt;"",G38&lt;&gt;"un jeune couple et un chien",G38&lt;&gt;"un viel homme")</formula>
    </cfRule>
    <cfRule type="expression" dxfId="50" priority="9">
      <formula>OR(G38="un jeune couple et un chien",G38="un viel homme")</formula>
    </cfRule>
  </conditionalFormatting>
  <conditionalFormatting sqref="G39:H39">
    <cfRule type="expression" dxfId="49" priority="4">
      <formula>G39="saisir votre réponse 2 ICI"</formula>
    </cfRule>
    <cfRule type="expression" dxfId="48" priority="5">
      <formula>OR(AND(G39&lt;&gt;"",G39&lt;&gt;"un jeune couple et un chien",G39&lt;&gt;"un viel homme"),G39=G38)</formula>
    </cfRule>
    <cfRule type="expression" dxfId="47" priority="6">
      <formula>OR(G39="un jeune couple et un chien",G39="un viel homme")</formula>
    </cfRule>
  </conditionalFormatting>
  <conditionalFormatting sqref="D38:E38">
    <cfRule type="expression" dxfId="46" priority="1">
      <formula>D38="saisir votre réponse ICI"</formula>
    </cfRule>
    <cfRule type="expression" dxfId="45" priority="2">
      <formula>AND(D38&lt;&gt;"",D38&lt;&gt;"Bravo, tu as trouvé le bon angle de vision!")</formula>
    </cfRule>
    <cfRule type="expression" dxfId="44" priority="3">
      <formula>D38="Bravo, tu as trouvé le bon angle de vision!"</formula>
    </cfRule>
  </conditionalFormatting>
  <pageMargins left="0.70866141732283472" right="0.70866141732283472" top="0.74803149606299213" bottom="0.74803149606299213" header="0.31496062992125984" footer="0.31496062992125984"/>
  <pageSetup paperSize="9" orientation="portrait" verticalDpi="0" r:id="rId1"/>
  <drawing r:id="rId2"/>
</worksheet>
</file>

<file path=xl/worksheets/sheet35.xml><?xml version="1.0" encoding="utf-8"?>
<worksheet xmlns="http://schemas.openxmlformats.org/spreadsheetml/2006/main" xmlns:r="http://schemas.openxmlformats.org/officeDocument/2006/relationships">
  <sheetPr codeName="Feuil35"/>
  <dimension ref="A1:A31"/>
  <sheetViews>
    <sheetView showGridLines="0" showRowColHeaders="0" workbookViewId="0">
      <selection activeCell="B1" sqref="B1:XFD1048576"/>
    </sheetView>
  </sheetViews>
  <sheetFormatPr baseColWidth="10" defaultColWidth="0" defaultRowHeight="15" zeroHeight="1"/>
  <cols>
    <col min="1" max="1" width="91.140625" style="21" customWidth="1"/>
    <col min="2" max="16384" width="11.42578125" style="21" hidden="1"/>
  </cols>
  <sheetData>
    <row r="1" spans="1:1" ht="75" customHeight="1"/>
    <row r="2" spans="1:1" ht="348" customHeight="1">
      <c r="A2" s="358" t="s">
        <v>404</v>
      </c>
    </row>
    <row r="3" spans="1:1" ht="70.5" customHeight="1">
      <c r="A3" s="359" t="s">
        <v>403</v>
      </c>
    </row>
    <row r="4" spans="1:1" hidden="1"/>
    <row r="5" spans="1:1" hidden="1"/>
    <row r="6" spans="1:1" hidden="1"/>
    <row r="7" spans="1:1" hidden="1"/>
    <row r="8" spans="1:1" hidden="1"/>
    <row r="9" spans="1:1" hidden="1"/>
    <row r="10" spans="1:1" hidden="1"/>
    <row r="11" spans="1:1" hidden="1"/>
    <row r="12" spans="1:1" hidden="1"/>
    <row r="13" spans="1:1" hidden="1"/>
    <row r="14" spans="1:1" hidden="1"/>
    <row r="15" spans="1:1" hidden="1"/>
    <row r="16" spans="1:1" hidden="1"/>
    <row r="17" hidden="1"/>
    <row r="18" hidden="1"/>
    <row r="19" hidden="1"/>
    <row r="20" hidden="1"/>
    <row r="21" hidden="1"/>
    <row r="22" hidden="1"/>
    <row r="23" hidden="1"/>
    <row r="24" hidden="1"/>
    <row r="25" hidden="1"/>
    <row r="26" hidden="1"/>
    <row r="27" hidden="1"/>
    <row r="28" hidden="1"/>
    <row r="29" hidden="1"/>
    <row r="30" hidden="1"/>
    <row r="31" hidden="1"/>
  </sheetData>
  <sheetProtection password="8B0A" sheet="1" objects="1" scenarios="1"/>
  <pageMargins left="0.7" right="0.7" top="0.75" bottom="0.75" header="0.3" footer="0.3"/>
  <pageSetup paperSize="9" orientation="portrait" verticalDpi="0" r:id="rId1"/>
  <drawing r:id="rId2"/>
</worksheet>
</file>

<file path=xl/worksheets/sheet36.xml><?xml version="1.0" encoding="utf-8"?>
<worksheet xmlns="http://schemas.openxmlformats.org/spreadsheetml/2006/main" xmlns:r="http://schemas.openxmlformats.org/officeDocument/2006/relationships">
  <sheetPr codeName="Feuil36"/>
  <dimension ref="A1:B11"/>
  <sheetViews>
    <sheetView showGridLines="0" showRowColHeaders="0" workbookViewId="0">
      <selection activeCell="K5" sqref="K5"/>
    </sheetView>
  </sheetViews>
  <sheetFormatPr baseColWidth="10" defaultColWidth="0" defaultRowHeight="15" zeroHeight="1"/>
  <cols>
    <col min="1" max="1" width="5.140625" customWidth="1"/>
    <col min="2" max="2" width="89.5703125" customWidth="1"/>
    <col min="3" max="16384" width="11.42578125" hidden="1"/>
  </cols>
  <sheetData>
    <row r="1" spans="1:2" s="457" customFormat="1">
      <c r="A1" s="706" t="s">
        <v>471</v>
      </c>
      <c r="B1" s="707"/>
    </row>
    <row r="2" spans="1:2">
      <c r="A2" s="708"/>
      <c r="B2" s="709"/>
    </row>
    <row r="3" spans="1:2" ht="24" customHeight="1" thickBot="1">
      <c r="A3" s="708"/>
      <c r="B3" s="709"/>
    </row>
    <row r="4" spans="1:2" ht="23.25" customHeight="1">
      <c r="A4" s="900">
        <f>IF(AND(ADDITION!H3="",ADDITION!H4=""),0,IF(OR(ADDITION!H3="",ADDITION!H4=""),1,IF(AND(ADDITION!H4=4,ADDITION!C11&lt;&gt;"",ADDITION!H3&lt;&gt;""),2,IF(AND(ADDITION!H4=6,ADDITION!C13&lt;&gt;"",ADDITION!H3&lt;&gt;""),2,IF(AND(ADDITION!H4=8,ADDITION!C15&lt;&gt;"",ADDITION!H3&lt;&gt;""),2,1)))))</f>
        <v>0</v>
      </c>
      <c r="B4" s="476" t="s">
        <v>475</v>
      </c>
    </row>
    <row r="5" spans="1:2" ht="15" customHeight="1">
      <c r="A5" s="901"/>
      <c r="B5" s="477" t="s">
        <v>469</v>
      </c>
    </row>
    <row r="6" spans="1:2" ht="15" customHeight="1">
      <c r="A6" s="901">
        <f>IF(AND(ADDITION2!H3="",ADDITION2!I3=""),0,IF(OR(ADDITION2!H3="",ADDITION2!I3=""),1,IF(AND(ADDITION2!H3&lt;&gt;"",ADDITION2!I3&lt;&gt;"",ADDITION2!H7&lt;&gt;""),2,1)))</f>
        <v>0</v>
      </c>
      <c r="B6" s="478" t="s">
        <v>489</v>
      </c>
    </row>
    <row r="7" spans="1:2" ht="15" customHeight="1">
      <c r="A7" s="901"/>
      <c r="B7" s="477" t="s">
        <v>480</v>
      </c>
    </row>
    <row r="8" spans="1:2" ht="23.25">
      <c r="A8" s="901">
        <f>IF(AND('1089'!L24=0,'95'!L1=""),0,IF(AND('1089'!L24=9,'95'!L1&lt;&gt;""),2,IF(OR('1089'!L24&lt;&gt;0,'95'!L1&lt;&gt;""),1,1)))</f>
        <v>0</v>
      </c>
      <c r="B8" s="478" t="s">
        <v>491</v>
      </c>
    </row>
    <row r="9" spans="1:2" ht="15.75" customHeight="1">
      <c r="A9" s="901"/>
      <c r="B9" s="477" t="s">
        <v>500</v>
      </c>
    </row>
    <row r="10" spans="1:2" ht="23.25" hidden="1">
      <c r="A10" s="901"/>
      <c r="B10" s="478"/>
    </row>
    <row r="11" spans="1:2" ht="16.5" hidden="1" thickBot="1">
      <c r="A11" s="902"/>
      <c r="B11" s="479"/>
    </row>
  </sheetData>
  <sheetProtection password="8B0A" sheet="1" objects="1" scenarios="1"/>
  <mergeCells count="5">
    <mergeCell ref="A4:A5"/>
    <mergeCell ref="A6:A7"/>
    <mergeCell ref="A1:B3"/>
    <mergeCell ref="A8:A9"/>
    <mergeCell ref="A10:A11"/>
  </mergeCells>
  <conditionalFormatting sqref="A4:A7">
    <cfRule type="iconSet" priority="3">
      <iconSet iconSet="3TrafficLights2" showValue="0" reverse="1">
        <cfvo type="percent" val="0"/>
        <cfvo type="num" val="1"/>
        <cfvo type="num" val="2"/>
      </iconSet>
    </cfRule>
  </conditionalFormatting>
  <conditionalFormatting sqref="A8:A11">
    <cfRule type="iconSet" priority="2">
      <iconSet iconSet="3TrafficLights2" showValue="0" reverse="1">
        <cfvo type="percent" val="0"/>
        <cfvo type="num" val="1"/>
        <cfvo type="num" val="2"/>
      </iconSet>
    </cfRule>
  </conditionalFormatting>
  <conditionalFormatting sqref="A8:A9">
    <cfRule type="iconSet" priority="1">
      <iconSet iconSet="3TrafficLights2" showValue="0" reverse="1">
        <cfvo type="percent" val="0"/>
        <cfvo type="num" val="1"/>
        <cfvo type="num" val="2"/>
      </iconSet>
    </cfRule>
  </conditionalFormatting>
  <pageMargins left="0.7" right="0.7" top="0.75" bottom="0.75" header="0.3" footer="0.3"/>
  <drawing r:id="rId1"/>
</worksheet>
</file>

<file path=xl/worksheets/sheet37.xml><?xml version="1.0" encoding="utf-8"?>
<worksheet xmlns="http://schemas.openxmlformats.org/spreadsheetml/2006/main" xmlns:r="http://schemas.openxmlformats.org/officeDocument/2006/relationships">
  <sheetPr codeName="Feuil37"/>
  <dimension ref="A1:L21"/>
  <sheetViews>
    <sheetView showGridLines="0" showRowColHeaders="0" workbookViewId="0">
      <selection sqref="A1:I1"/>
    </sheetView>
  </sheetViews>
  <sheetFormatPr baseColWidth="10" defaultColWidth="0" defaultRowHeight="15" zeroHeight="1"/>
  <cols>
    <col min="1" max="1" width="7.42578125" style="21" customWidth="1"/>
    <col min="2" max="9" width="11.42578125" style="21" customWidth="1"/>
    <col min="10" max="16384" width="11.42578125" style="21" hidden="1"/>
  </cols>
  <sheetData>
    <row r="1" spans="1:12" ht="46.5">
      <c r="A1" s="904" t="str">
        <f>'SOMMAIRE ADDITIONS'!B6</f>
        <v>Suite de Fibonacci</v>
      </c>
      <c r="B1" s="904"/>
      <c r="C1" s="904"/>
      <c r="D1" s="904"/>
      <c r="E1" s="904"/>
      <c r="F1" s="904"/>
      <c r="G1" s="904"/>
      <c r="H1" s="904"/>
      <c r="I1" s="904"/>
      <c r="J1" s="466"/>
    </row>
    <row r="2" spans="1:12" ht="15.75" thickBot="1">
      <c r="A2" s="463"/>
      <c r="B2" s="897"/>
      <c r="C2" s="897"/>
      <c r="D2" s="897"/>
      <c r="E2" s="897"/>
      <c r="F2" s="897"/>
      <c r="G2" s="897"/>
      <c r="H2" s="897"/>
      <c r="I2" s="897"/>
    </row>
    <row r="3" spans="1:12" ht="15.75" thickBot="1">
      <c r="A3" s="463"/>
      <c r="B3" s="906" t="s">
        <v>479</v>
      </c>
      <c r="C3" s="906"/>
      <c r="D3" s="906"/>
      <c r="E3" s="906"/>
      <c r="F3" s="906"/>
      <c r="G3" s="907"/>
      <c r="H3" s="465"/>
      <c r="I3" s="465"/>
      <c r="K3" s="467" t="str">
        <f>IF(H3="","",IF(ISNUMBER(H3)=FALSE,"X",IF(H3/ROUNDDOWN(H3,0)=1,"","X")))</f>
        <v/>
      </c>
      <c r="L3" s="467" t="str">
        <f>IF(I3="","",IF(ISNUMBER(I3)=FALSE,"X",IF(I3/ROUNDDOWN(I3,0)=1,"","X")))</f>
        <v/>
      </c>
    </row>
    <row r="4" spans="1:12">
      <c r="A4" s="463"/>
      <c r="B4" s="897"/>
      <c r="C4" s="897"/>
      <c r="D4" s="897"/>
      <c r="E4" s="897"/>
      <c r="F4" s="897"/>
      <c r="G4" s="897"/>
      <c r="H4" s="897"/>
      <c r="I4" s="897"/>
      <c r="K4" s="467"/>
      <c r="L4" s="467"/>
    </row>
    <row r="5" spans="1:12">
      <c r="A5" s="463"/>
      <c r="B5" s="908" t="str">
        <f>IF(AND(H3&lt;&gt;"",I3&lt;&gt;"",K3&lt;&gt;"X",L3&lt;&gt;"X"),"Afin de faire apparaitre la suite de Fibonacci selon vos données saisies, cliquez ICI","")</f>
        <v/>
      </c>
      <c r="C5" s="908"/>
      <c r="D5" s="908"/>
      <c r="E5" s="908"/>
      <c r="F5" s="908"/>
      <c r="G5" s="908"/>
      <c r="H5" s="908"/>
      <c r="I5" s="908"/>
      <c r="K5" s="468"/>
      <c r="L5" s="467"/>
    </row>
    <row r="6" spans="1:12" ht="15.75" thickBot="1">
      <c r="A6" s="463"/>
      <c r="B6" s="897"/>
      <c r="C6" s="897"/>
      <c r="D6" s="897"/>
      <c r="E6" s="897"/>
      <c r="F6" s="897"/>
      <c r="G6" s="897"/>
      <c r="H6" s="897"/>
      <c r="I6" s="897"/>
    </row>
    <row r="7" spans="1:12" ht="15.75" thickBot="1">
      <c r="A7" s="463"/>
      <c r="B7" s="909" t="str">
        <f>IF(K5="","","Vous devez saisir le total de l'addition ci-contre avant la fin du temps imparti")</f>
        <v/>
      </c>
      <c r="C7" s="909"/>
      <c r="D7" s="909"/>
      <c r="E7" s="909"/>
      <c r="F7" s="909"/>
      <c r="G7" s="909"/>
      <c r="H7" s="910"/>
      <c r="I7" s="911"/>
    </row>
    <row r="8" spans="1:12">
      <c r="A8" s="463"/>
      <c r="B8" s="905" t="str">
        <f>IF(OR(H7="",F13=""),"",IF(AND(K5="x",H7=11*F13),"Bravo ! Vous avez débloqué le bonus ! &gt;&gt;&gt; Découvrez une astuce propre à la table de 11",""))</f>
        <v/>
      </c>
      <c r="C8" s="905"/>
      <c r="D8" s="905"/>
      <c r="E8" s="905"/>
      <c r="F8" s="905"/>
      <c r="G8" s="905"/>
      <c r="H8" s="905"/>
      <c r="I8" s="905"/>
    </row>
    <row r="9" spans="1:12">
      <c r="A9" s="463"/>
      <c r="B9" s="905"/>
      <c r="C9" s="905"/>
      <c r="D9" s="905"/>
      <c r="E9" s="905"/>
      <c r="F9" s="905"/>
      <c r="G9" s="905"/>
      <c r="H9" s="905"/>
      <c r="I9" s="905"/>
    </row>
    <row r="10" spans="1:12">
      <c r="A10" s="463"/>
      <c r="B10" s="897"/>
      <c r="C10" s="897"/>
      <c r="D10" s="897"/>
      <c r="E10" s="897"/>
      <c r="F10" s="897"/>
      <c r="G10" s="897"/>
      <c r="H10" s="897"/>
      <c r="I10" s="897"/>
    </row>
    <row r="11" spans="1:12" ht="15.75">
      <c r="A11" s="463"/>
      <c r="B11" s="464" t="str">
        <f>IF(K5="","",H3)</f>
        <v/>
      </c>
      <c r="C11" s="464" t="str">
        <f>IF(B11="","","+")</f>
        <v/>
      </c>
      <c r="D11" s="464" t="str">
        <f>IF(K5="","",I3)</f>
        <v/>
      </c>
      <c r="E11" s="464" t="str">
        <f>IF(D11="","","+")</f>
        <v/>
      </c>
      <c r="F11" s="464" t="str">
        <f>IF(OR(B11="",D11=""),"",B11+D11)</f>
        <v/>
      </c>
      <c r="G11" s="464" t="str">
        <f>IF(F11="","","+")</f>
        <v/>
      </c>
      <c r="H11" s="464" t="str">
        <f>IF(OR(D11="",F11=""),"",D11+F11)</f>
        <v/>
      </c>
      <c r="I11" s="464" t="str">
        <f>IF(H11="","","+")</f>
        <v/>
      </c>
    </row>
    <row r="12" spans="1:12">
      <c r="A12" s="463"/>
      <c r="B12" s="897"/>
      <c r="C12" s="897"/>
      <c r="D12" s="897"/>
      <c r="E12" s="897"/>
      <c r="F12" s="897"/>
      <c r="G12" s="897"/>
      <c r="H12" s="897"/>
      <c r="I12" s="897"/>
    </row>
    <row r="13" spans="1:12" ht="15.75">
      <c r="A13" s="463"/>
      <c r="B13" s="464" t="str">
        <f>IF(OR(F11="",H11=""),"",F11+H11)</f>
        <v/>
      </c>
      <c r="C13" s="464" t="str">
        <f>IF(B13="","","+")</f>
        <v/>
      </c>
      <c r="D13" s="464" t="str">
        <f>IF(OR(H11="",B13=""),"",H11+B13)</f>
        <v/>
      </c>
      <c r="E13" s="464" t="str">
        <f>IF(D13="","","+")</f>
        <v/>
      </c>
      <c r="F13" s="464" t="str">
        <f>IF(OR(B13="",D13=""),"",B13+D13)</f>
        <v/>
      </c>
      <c r="G13" s="464" t="str">
        <f>IF(F13="","","+")</f>
        <v/>
      </c>
      <c r="H13" s="464" t="str">
        <f>IF(OR(D13="",F13=""),"",D13+F13)</f>
        <v/>
      </c>
      <c r="I13" s="464" t="str">
        <f>IF(H13="","","+")</f>
        <v/>
      </c>
    </row>
    <row r="14" spans="1:12">
      <c r="A14" s="463"/>
      <c r="B14" s="897"/>
      <c r="C14" s="897"/>
      <c r="D14" s="897"/>
      <c r="E14" s="897"/>
      <c r="F14" s="897"/>
      <c r="G14" s="897"/>
      <c r="H14" s="897"/>
      <c r="I14" s="897"/>
    </row>
    <row r="15" spans="1:12" ht="15.75">
      <c r="A15" s="463"/>
      <c r="B15" s="464" t="str">
        <f>IF(OR(F13="",H13=""),"",F13+H13)</f>
        <v/>
      </c>
      <c r="C15" s="464" t="str">
        <f>IF(B15="","","+")</f>
        <v/>
      </c>
      <c r="D15" s="464" t="str">
        <f>IF(OR(F13="",B15=""),"",F13+B15)</f>
        <v/>
      </c>
      <c r="E15" s="903" t="str">
        <f>IF(H7&lt;&gt;"","Recommencer","")</f>
        <v/>
      </c>
      <c r="F15" s="903"/>
      <c r="G15" s="903"/>
      <c r="H15" s="903"/>
      <c r="I15" s="903"/>
    </row>
    <row r="16" spans="1:12">
      <c r="A16" s="463"/>
      <c r="B16" s="897"/>
      <c r="C16" s="897"/>
      <c r="D16" s="897"/>
      <c r="E16" s="897"/>
      <c r="F16" s="897"/>
      <c r="G16" s="897"/>
      <c r="H16" s="897"/>
      <c r="I16" s="897"/>
    </row>
    <row r="17" spans="1:9">
      <c r="A17" s="463"/>
      <c r="B17" s="897"/>
      <c r="C17" s="897"/>
      <c r="D17" s="897"/>
      <c r="E17" s="897"/>
      <c r="F17" s="897"/>
      <c r="G17" s="897"/>
      <c r="H17" s="897"/>
      <c r="I17" s="897"/>
    </row>
    <row r="18" spans="1:9" hidden="1">
      <c r="A18" s="463"/>
    </row>
    <row r="19" spans="1:9" hidden="1">
      <c r="A19" s="463"/>
    </row>
    <row r="20" spans="1:9" hidden="1">
      <c r="A20" s="463"/>
    </row>
    <row r="21" spans="1:9" hidden="1">
      <c r="A21" s="463"/>
    </row>
  </sheetData>
  <sheetProtection password="8B0A" sheet="1" objects="1" scenarios="1"/>
  <mergeCells count="15">
    <mergeCell ref="B16:I16"/>
    <mergeCell ref="E15:I15"/>
    <mergeCell ref="B17:I17"/>
    <mergeCell ref="A1:I1"/>
    <mergeCell ref="B8:I9"/>
    <mergeCell ref="B10:I10"/>
    <mergeCell ref="B12:I12"/>
    <mergeCell ref="B14:I14"/>
    <mergeCell ref="B3:G3"/>
    <mergeCell ref="B2:I2"/>
    <mergeCell ref="B4:I4"/>
    <mergeCell ref="B5:I5"/>
    <mergeCell ref="B6:I6"/>
    <mergeCell ref="B7:G7"/>
    <mergeCell ref="H7:I7"/>
  </mergeCells>
  <conditionalFormatting sqref="B8">
    <cfRule type="expression" dxfId="43" priority="2">
      <formula>$B$8&lt;&gt;""</formula>
    </cfRule>
  </conditionalFormatting>
  <conditionalFormatting sqref="H7:I7">
    <cfRule type="expression" dxfId="42" priority="1">
      <formula>$B$7=""</formula>
    </cfRule>
  </conditionalFormatting>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sheetPr codeName="Feuil38"/>
  <dimension ref="A1:Q29"/>
  <sheetViews>
    <sheetView showGridLines="0" showRowColHeaders="0" workbookViewId="0">
      <selection activeCell="I3" sqref="I3 D13"/>
    </sheetView>
  </sheetViews>
  <sheetFormatPr baseColWidth="10" defaultColWidth="0" defaultRowHeight="15" customHeight="1" zeroHeight="1"/>
  <cols>
    <col min="1" max="1" width="3.85546875" style="437" customWidth="1"/>
    <col min="2" max="5" width="11.42578125" style="437" customWidth="1"/>
    <col min="6" max="6" width="15.140625" style="437" customWidth="1"/>
    <col min="7" max="9" width="11.42578125" style="437" customWidth="1"/>
    <col min="10" max="10" width="26.85546875" style="437" customWidth="1"/>
    <col min="11" max="11" width="19.42578125" style="437" customWidth="1"/>
    <col min="12" max="12" width="3.85546875" style="437" hidden="1" customWidth="1"/>
    <col min="13" max="13" width="11.42578125" style="437" hidden="1" customWidth="1"/>
    <col min="14" max="14" width="13.85546875" style="437" hidden="1" customWidth="1"/>
    <col min="15" max="16" width="11.42578125" style="437" hidden="1" customWidth="1"/>
    <col min="17" max="17" width="0" style="437" hidden="1" customWidth="1"/>
    <col min="18" max="16384" width="11.42578125" style="437" hidden="1"/>
  </cols>
  <sheetData>
    <row r="1" spans="1:16" ht="34.5">
      <c r="A1" s="915" t="str">
        <f ca="1">"Votre pointure  (v"&amp;YEAR(PARA!H6)&amp;")"</f>
        <v>Votre pointure  (v2018)</v>
      </c>
      <c r="B1" s="916"/>
      <c r="C1" s="916"/>
      <c r="D1" s="916"/>
      <c r="E1" s="916"/>
      <c r="F1" s="916"/>
      <c r="G1" s="916"/>
      <c r="H1" s="916"/>
      <c r="I1" s="916"/>
      <c r="J1" s="916"/>
      <c r="K1" s="916"/>
      <c r="L1" s="444"/>
      <c r="M1" s="445"/>
      <c r="N1" s="443">
        <f ca="1">PARA!B6+(YEAR(PARA!H6)-YEAR(PARA!B6))*365.25</f>
        <v>43099.5</v>
      </c>
      <c r="O1" s="443">
        <f ca="1">TODAY()</f>
        <v>43257</v>
      </c>
      <c r="P1" s="437" t="str">
        <f ca="1">IF(O1&gt;N1,"oui","non")</f>
        <v>oui</v>
      </c>
    </row>
    <row r="2" spans="1:16" ht="15" customHeight="1">
      <c r="A2" s="920"/>
      <c r="B2" s="917"/>
      <c r="C2" s="917"/>
      <c r="D2" s="917"/>
      <c r="E2" s="917"/>
      <c r="F2" s="917"/>
      <c r="G2" s="917"/>
      <c r="H2" s="917"/>
      <c r="I2" s="917"/>
      <c r="J2" s="917"/>
      <c r="K2" s="917"/>
      <c r="N2" s="437" t="s">
        <v>445</v>
      </c>
      <c r="O2" s="437" t="s">
        <v>446</v>
      </c>
      <c r="P2" s="437" t="s">
        <v>447</v>
      </c>
    </row>
    <row r="3" spans="1:16" ht="15" customHeight="1">
      <c r="A3" s="920"/>
      <c r="B3" s="918" t="s">
        <v>448</v>
      </c>
      <c r="C3" s="918"/>
      <c r="D3" s="918"/>
      <c r="E3" s="918"/>
      <c r="F3" s="918"/>
      <c r="G3" s="918"/>
      <c r="H3" s="918"/>
      <c r="I3" s="471"/>
      <c r="J3" s="919" t="str">
        <f>IF(I3="","Pour retourner sur la page des paramètres, cliquez ICI !",IF(I3="oui","Très bien "&amp;PARA!B3&amp;", la date retenue est le : "&amp;DAY(PARA!B6)&amp;"/"&amp;MONTH(PARA!B6)&amp;"/"&amp;YEAR(PARA!B6)&amp;".",""))</f>
        <v>Pour retourner sur la page des paramètres, cliquez ICI !</v>
      </c>
      <c r="K3" s="919"/>
    </row>
    <row r="4" spans="1:16" ht="15.75" customHeight="1">
      <c r="A4" s="920"/>
      <c r="B4" s="914" t="str">
        <f>IF(I3="","","1/. Prenez votre pointure (nombre entier)")</f>
        <v/>
      </c>
      <c r="C4" s="914"/>
      <c r="D4" s="914"/>
      <c r="E4" s="914"/>
      <c r="F4" s="914"/>
      <c r="G4" s="914"/>
      <c r="H4" s="914"/>
      <c r="I4" s="914"/>
      <c r="J4" s="914"/>
      <c r="K4" s="914"/>
      <c r="N4" s="437">
        <v>2007</v>
      </c>
      <c r="O4" s="437">
        <v>1007</v>
      </c>
      <c r="P4" s="437">
        <f>O4-1</f>
        <v>1006</v>
      </c>
    </row>
    <row r="5" spans="1:16" ht="15.75" customHeight="1">
      <c r="A5" s="920"/>
      <c r="B5" s="914" t="str">
        <f>IF(I3="","","2/. Multipliez-la par 5")</f>
        <v/>
      </c>
      <c r="C5" s="914"/>
      <c r="D5" s="914"/>
      <c r="E5" s="914"/>
      <c r="F5" s="914"/>
      <c r="G5" s="914"/>
      <c r="H5" s="914"/>
      <c r="I5" s="914"/>
      <c r="J5" s="914"/>
      <c r="K5" s="914"/>
      <c r="N5" s="437">
        <v>2008</v>
      </c>
      <c r="O5" s="437">
        <v>1008</v>
      </c>
      <c r="P5" s="437">
        <f t="shared" ref="P5:P7" si="0">O4</f>
        <v>1007</v>
      </c>
    </row>
    <row r="6" spans="1:16" ht="15.75" customHeight="1">
      <c r="A6" s="920"/>
      <c r="B6" s="914" t="str">
        <f>IF(I3="","","3/. Ajoutez 50")</f>
        <v/>
      </c>
      <c r="C6" s="914"/>
      <c r="D6" s="914"/>
      <c r="E6" s="914"/>
      <c r="F6" s="914"/>
      <c r="G6" s="914"/>
      <c r="H6" s="914"/>
      <c r="I6" s="914"/>
      <c r="J6" s="914"/>
      <c r="K6" s="914"/>
      <c r="N6" s="437">
        <v>2009</v>
      </c>
      <c r="O6" s="437">
        <v>1009</v>
      </c>
      <c r="P6" s="437">
        <f t="shared" si="0"/>
        <v>1008</v>
      </c>
    </row>
    <row r="7" spans="1:16" ht="15.75" customHeight="1">
      <c r="A7" s="920"/>
      <c r="B7" s="914" t="str">
        <f>IF(I3="","","4/. Multipliez le tout par 20")</f>
        <v/>
      </c>
      <c r="C7" s="914"/>
      <c r="D7" s="914"/>
      <c r="E7" s="914"/>
      <c r="F7" s="914"/>
      <c r="G7" s="914"/>
      <c r="H7" s="914"/>
      <c r="I7" s="914"/>
      <c r="J7" s="914"/>
      <c r="K7" s="914"/>
      <c r="N7" s="437">
        <v>2010</v>
      </c>
      <c r="O7" s="437">
        <v>1010</v>
      </c>
      <c r="P7" s="437">
        <f t="shared" si="0"/>
        <v>1009</v>
      </c>
    </row>
    <row r="8" spans="1:16" ht="15.75" customHeight="1">
      <c r="A8" s="920"/>
      <c r="B8" s="914" t="str">
        <f>IF(I3="","",IF(I3="non","5/. Si vous avez déjà célébré votre anniversaire cette année, ajoutez "&amp;VLOOKUP(YEAR(PARA!H6),N2:P21,2)&amp;". Sinon, ajoutez "&amp;VLOOKUP(YEAR(PARA!H6),N2:P21,3)&amp;".",IF(P1="oui","5/. Ajoutez "&amp;VLOOKUP(YEAR(PARA!H6),N2:P21,2),"5/. Ajoutez "&amp;VLOOKUP(YEAR(PARA!H6),N2:P21,3))))</f>
        <v/>
      </c>
      <c r="C8" s="914"/>
      <c r="D8" s="914"/>
      <c r="E8" s="914"/>
      <c r="F8" s="914"/>
      <c r="G8" s="914"/>
      <c r="H8" s="914"/>
      <c r="I8" s="914"/>
      <c r="J8" s="914"/>
      <c r="K8" s="914"/>
      <c r="N8" s="437">
        <v>2011</v>
      </c>
      <c r="O8" s="437">
        <v>1011</v>
      </c>
      <c r="P8" s="437">
        <f>O7</f>
        <v>1010</v>
      </c>
    </row>
    <row r="9" spans="1:16" ht="15.75" customHeight="1">
      <c r="A9" s="920"/>
      <c r="B9" s="914" t="str">
        <f>IF(I3="","",IF(I3="non","6/. Soustrayez votre année de naissance au nombre précédemment obtenu","6/. Soustrayez "&amp;YEAR(PARA!B6)&amp;" (votre année de naissance) au nombre précédemment obtenu."))</f>
        <v/>
      </c>
      <c r="C9" s="914"/>
      <c r="D9" s="914"/>
      <c r="E9" s="914"/>
      <c r="F9" s="914"/>
      <c r="G9" s="914"/>
      <c r="H9" s="914"/>
      <c r="I9" s="914"/>
      <c r="J9" s="914"/>
      <c r="K9" s="914"/>
      <c r="N9" s="437">
        <v>2012</v>
      </c>
      <c r="O9" s="437">
        <v>1012</v>
      </c>
      <c r="P9" s="437">
        <f t="shared" ref="P9:P21" si="1">O8</f>
        <v>1011</v>
      </c>
    </row>
    <row r="10" spans="1:16" ht="33.75" customHeight="1">
      <c r="A10" s="920"/>
      <c r="B10" s="924"/>
      <c r="C10" s="924"/>
      <c r="D10" s="924"/>
      <c r="E10" s="924"/>
      <c r="F10" s="924"/>
      <c r="G10" s="924"/>
      <c r="H10" s="924"/>
      <c r="I10" s="924"/>
      <c r="J10" s="924"/>
      <c r="K10" s="924"/>
      <c r="N10" s="437">
        <v>2013</v>
      </c>
      <c r="O10" s="437">
        <v>1013</v>
      </c>
      <c r="P10" s="437">
        <f t="shared" si="1"/>
        <v>1012</v>
      </c>
    </row>
    <row r="11" spans="1:16" ht="20.25">
      <c r="A11" s="920"/>
      <c r="B11" s="925" t="str">
        <f>IF(I3="","",IF(D13="","&gt;&gt; Vous devriez obtenir un numéro à quatre chiffres.","Votre résultat est : "&amp;D13))</f>
        <v/>
      </c>
      <c r="C11" s="925"/>
      <c r="D11" s="925"/>
      <c r="E11" s="925"/>
      <c r="F11" s="925"/>
      <c r="G11" s="925"/>
      <c r="H11" s="925"/>
      <c r="I11" s="925"/>
      <c r="J11" s="925"/>
      <c r="K11" s="925"/>
      <c r="N11" s="437">
        <v>2014</v>
      </c>
      <c r="O11" s="437">
        <v>1014</v>
      </c>
      <c r="P11" s="437">
        <f t="shared" si="1"/>
        <v>1013</v>
      </c>
    </row>
    <row r="12" spans="1:16" ht="15" customHeight="1">
      <c r="A12" s="920"/>
      <c r="B12" s="922"/>
      <c r="C12" s="922"/>
      <c r="D12" s="922"/>
      <c r="E12" s="922"/>
      <c r="F12" s="922"/>
      <c r="G12" s="922"/>
      <c r="H12" s="922"/>
      <c r="I12" s="922"/>
      <c r="J12" s="922"/>
      <c r="K12" s="922"/>
      <c r="N12" s="437">
        <v>2015</v>
      </c>
      <c r="O12" s="437">
        <v>1015</v>
      </c>
      <c r="P12" s="437">
        <f t="shared" si="1"/>
        <v>1014</v>
      </c>
    </row>
    <row r="13" spans="1:16" ht="18">
      <c r="A13" s="920"/>
      <c r="B13" s="926" t="str">
        <f>IF(I3="","",IF(D13="","Inscrivez-le ici =&gt;",""))</f>
        <v/>
      </c>
      <c r="C13" s="926"/>
      <c r="D13" s="470"/>
      <c r="E13" s="912"/>
      <c r="F13" s="913"/>
      <c r="G13" s="913"/>
      <c r="H13" s="913"/>
      <c r="I13" s="913"/>
      <c r="J13" s="913"/>
      <c r="K13" s="913"/>
      <c r="N13" s="437">
        <v>2016</v>
      </c>
      <c r="O13" s="437">
        <v>1016</v>
      </c>
      <c r="P13" s="437">
        <f t="shared" si="1"/>
        <v>1015</v>
      </c>
    </row>
    <row r="14" spans="1:16" ht="31.5" customHeight="1">
      <c r="A14" s="920"/>
      <c r="B14" s="922"/>
      <c r="C14" s="922"/>
      <c r="D14" s="922"/>
      <c r="E14" s="922"/>
      <c r="F14" s="922"/>
      <c r="G14" s="922"/>
      <c r="H14" s="922"/>
      <c r="I14" s="922"/>
      <c r="J14" s="922"/>
      <c r="K14" s="922"/>
      <c r="N14" s="437">
        <v>2017</v>
      </c>
      <c r="O14" s="437">
        <v>1017</v>
      </c>
      <c r="P14" s="437">
        <f t="shared" si="1"/>
        <v>1016</v>
      </c>
    </row>
    <row r="15" spans="1:16" ht="15.75" customHeight="1">
      <c r="A15" s="920"/>
      <c r="B15" s="923" t="str">
        <f>IF(OR(D13="",D13&lt;1001,D13&gt;5999),"","Les deux premiers chiffres ("&amp;ROUNDDOWN(D13/100,0)&amp;") donnent votre pointure."&amp;IF(AND(ROUNDDOWN(D13/100,0)&gt;0,ROUNDDOWN(D13/100,0)&lt;37)," C'est tout petit ça... mais c'est surement mignon !",IF(ROUNDDOWN(D13/100,0)&gt;=59, " Bon là tu te prends pour Jeison Orlando Rodriguez Hernandez ...!",IF(ROUNDDOWN(D13/100,0)&gt;=54, " Ok, bon là ce sont des plames, hein ;-) !!",IF(ROUNDDOWN(D13/100,0)&gt;=49," O_o' .. Heu, c'est encore concidéré comme des pieds ??",IF(ROUNDDOWN(D13/100,0)&gt;=45," Ca commence à faire grand..!",""))))))</f>
        <v/>
      </c>
      <c r="C15" s="923"/>
      <c r="D15" s="923"/>
      <c r="E15" s="923"/>
      <c r="F15" s="923"/>
      <c r="G15" s="923"/>
      <c r="H15" s="923"/>
      <c r="I15" s="923"/>
      <c r="J15" s="923"/>
      <c r="K15" s="923"/>
      <c r="L15" s="446"/>
      <c r="N15" s="437">
        <v>2018</v>
      </c>
      <c r="O15" s="437">
        <v>1018</v>
      </c>
      <c r="P15" s="437">
        <f t="shared" si="1"/>
        <v>1017</v>
      </c>
    </row>
    <row r="16" spans="1:16" ht="15.75" customHeight="1">
      <c r="A16" s="920"/>
      <c r="B16" s="914" t="str">
        <f>IF(B15="","","Les deux autres ("&amp;IF(D13-ROUNDDOWN(D13,-2)&lt;10,"0"&amp;D13-ROUNDDOWN(D13,-2),D13-ROUNDDOWN(D13,-2))&amp;") représentent votre âge.")</f>
        <v/>
      </c>
      <c r="C16" s="914"/>
      <c r="D16" s="914"/>
      <c r="E16" s="914"/>
      <c r="F16" s="914"/>
      <c r="G16" s="914"/>
      <c r="H16" s="914"/>
      <c r="I16" s="914"/>
      <c r="J16" s="914"/>
      <c r="K16" s="914"/>
      <c r="L16" s="446"/>
      <c r="N16" s="437">
        <v>2019</v>
      </c>
      <c r="O16" s="437">
        <v>1019</v>
      </c>
      <c r="P16" s="437">
        <f t="shared" si="1"/>
        <v>1018</v>
      </c>
    </row>
    <row r="17" spans="1:16" ht="15.75" customHeight="1">
      <c r="A17" s="920"/>
      <c r="B17" s="924"/>
      <c r="C17" s="924"/>
      <c r="D17" s="924"/>
      <c r="E17" s="924"/>
      <c r="F17" s="924"/>
      <c r="G17" s="924"/>
      <c r="H17" s="924"/>
      <c r="I17" s="924"/>
      <c r="J17" s="924"/>
      <c r="K17" s="924"/>
      <c r="N17" s="437">
        <v>2020</v>
      </c>
      <c r="O17" s="437">
        <v>1020</v>
      </c>
      <c r="P17" s="437">
        <f t="shared" si="1"/>
        <v>1019</v>
      </c>
    </row>
    <row r="18" spans="1:16" ht="18" customHeight="1">
      <c r="A18" s="920"/>
      <c r="B18" s="921" t="str">
        <f>IF(OR(D13&lt;=999,D13&gt;5999,D13=""),"","       Pour recommence, cliquez sur l'étoile =&gt;")</f>
        <v/>
      </c>
      <c r="C18" s="921"/>
      <c r="D18" s="921"/>
      <c r="E18" s="921"/>
      <c r="F18" s="921"/>
      <c r="G18" s="921"/>
      <c r="H18" s="921"/>
      <c r="I18" s="921"/>
      <c r="J18" s="921"/>
      <c r="K18" s="921"/>
      <c r="N18" s="437">
        <v>2021</v>
      </c>
      <c r="O18" s="437">
        <v>1021</v>
      </c>
      <c r="P18" s="437">
        <f t="shared" si="1"/>
        <v>1020</v>
      </c>
    </row>
    <row r="19" spans="1:16" ht="18" customHeight="1">
      <c r="A19" s="920"/>
      <c r="B19" s="921"/>
      <c r="C19" s="921"/>
      <c r="D19" s="921"/>
      <c r="E19" s="921"/>
      <c r="F19" s="921"/>
      <c r="G19" s="921"/>
      <c r="H19" s="921"/>
      <c r="I19" s="921"/>
      <c r="J19" s="921"/>
      <c r="K19" s="921"/>
      <c r="N19" s="437">
        <v>2022</v>
      </c>
      <c r="O19" s="437">
        <v>1022</v>
      </c>
      <c r="P19" s="437">
        <f t="shared" si="1"/>
        <v>1021</v>
      </c>
    </row>
    <row r="20" spans="1:16" ht="18" customHeight="1">
      <c r="A20" s="920"/>
      <c r="B20" s="921"/>
      <c r="C20" s="921"/>
      <c r="D20" s="921"/>
      <c r="E20" s="921"/>
      <c r="F20" s="921"/>
      <c r="G20" s="921"/>
      <c r="H20" s="921"/>
      <c r="I20" s="921"/>
      <c r="J20" s="921"/>
      <c r="K20" s="921"/>
      <c r="N20" s="437">
        <v>2023</v>
      </c>
      <c r="O20" s="437">
        <v>1023</v>
      </c>
      <c r="P20" s="437">
        <f t="shared" si="1"/>
        <v>1022</v>
      </c>
    </row>
    <row r="21" spans="1:16" ht="18" customHeight="1">
      <c r="A21" s="920"/>
      <c r="B21" s="921"/>
      <c r="C21" s="921"/>
      <c r="D21" s="921"/>
      <c r="E21" s="921"/>
      <c r="F21" s="921"/>
      <c r="G21" s="921"/>
      <c r="H21" s="921"/>
      <c r="I21" s="921"/>
      <c r="J21" s="921"/>
      <c r="K21" s="921"/>
      <c r="N21" s="437">
        <v>2024</v>
      </c>
      <c r="O21" s="437">
        <v>1024</v>
      </c>
      <c r="P21" s="437">
        <f t="shared" si="1"/>
        <v>1023</v>
      </c>
    </row>
    <row r="22" spans="1:16" hidden="1"/>
    <row r="23" spans="1:16" hidden="1"/>
    <row r="24" spans="1:16" hidden="1"/>
    <row r="25" spans="1:16" hidden="1"/>
    <row r="26" spans="1:16" hidden="1"/>
    <row r="27" spans="1:16" hidden="1"/>
    <row r="28" spans="1:16" hidden="1"/>
    <row r="29" spans="1:16" hidden="1"/>
  </sheetData>
  <sheetProtection password="8B0A" sheet="1" objects="1" scenarios="1"/>
  <mergeCells count="21">
    <mergeCell ref="A1:K1"/>
    <mergeCell ref="B2:K2"/>
    <mergeCell ref="B3:H3"/>
    <mergeCell ref="J3:K3"/>
    <mergeCell ref="B4:K4"/>
    <mergeCell ref="A2:A21"/>
    <mergeCell ref="B18:K21"/>
    <mergeCell ref="B14:K14"/>
    <mergeCell ref="B15:K15"/>
    <mergeCell ref="B16:K16"/>
    <mergeCell ref="B17:K17"/>
    <mergeCell ref="B9:K9"/>
    <mergeCell ref="B10:K10"/>
    <mergeCell ref="B11:K11"/>
    <mergeCell ref="B12:K12"/>
    <mergeCell ref="B13:C13"/>
    <mergeCell ref="E13:K13"/>
    <mergeCell ref="B5:K5"/>
    <mergeCell ref="B6:K6"/>
    <mergeCell ref="B7:K7"/>
    <mergeCell ref="B8:K8"/>
  </mergeCells>
  <conditionalFormatting sqref="D13">
    <cfRule type="expression" dxfId="41" priority="4">
      <formula>$D$13=""</formula>
    </cfRule>
    <cfRule type="expression" dxfId="40" priority="5">
      <formula>AND($D$13&gt;99,$D$13&lt;9999)</formula>
    </cfRule>
  </conditionalFormatting>
  <conditionalFormatting sqref="I3">
    <cfRule type="expression" dxfId="39" priority="3">
      <formula>$I$3=""</formula>
    </cfRule>
  </conditionalFormatting>
  <conditionalFormatting sqref="B4:K13">
    <cfRule type="expression" dxfId="38" priority="2">
      <formula>$I$3=""</formula>
    </cfRule>
  </conditionalFormatting>
  <conditionalFormatting sqref="B3:H3">
    <cfRule type="expression" dxfId="37" priority="1">
      <formula>$I$3=""</formula>
    </cfRule>
  </conditionalFormatting>
  <dataValidations count="1">
    <dataValidation type="list" allowBlank="1" showInputMessage="1" showErrorMessage="1" sqref="I3">
      <formula1>"oui,non"</formula1>
    </dataValidation>
  </dataValidations>
  <pageMargins left="0.7" right="0.7" top="0.75" bottom="0.75" header="0.3" footer="0.3"/>
  <pageSetup paperSize="9" orientation="portrait" verticalDpi="0" r:id="rId1"/>
  <drawing r:id="rId2"/>
</worksheet>
</file>

<file path=xl/worksheets/sheet39.xml><?xml version="1.0" encoding="utf-8"?>
<worksheet xmlns="http://schemas.openxmlformats.org/spreadsheetml/2006/main" xmlns:r="http://schemas.openxmlformats.org/officeDocument/2006/relationships">
  <sheetPr codeName="Feuil39"/>
  <dimension ref="A1:B7"/>
  <sheetViews>
    <sheetView showGridLines="0" showRowColHeaders="0" workbookViewId="0">
      <selection sqref="A1:B3"/>
    </sheetView>
  </sheetViews>
  <sheetFormatPr baseColWidth="10" defaultColWidth="0" defaultRowHeight="15" zeroHeight="1"/>
  <cols>
    <col min="1" max="1" width="4.7109375" customWidth="1"/>
    <col min="2" max="2" width="77.28515625" bestFit="1" customWidth="1"/>
    <col min="3" max="16384" width="11.42578125" hidden="1"/>
  </cols>
  <sheetData>
    <row r="1" spans="1:2">
      <c r="A1" s="706" t="s">
        <v>477</v>
      </c>
      <c r="B1" s="707"/>
    </row>
    <row r="2" spans="1:2">
      <c r="A2" s="708"/>
      <c r="B2" s="709"/>
    </row>
    <row r="3" spans="1:2" ht="26.25" customHeight="1" thickBot="1">
      <c r="A3" s="710"/>
      <c r="B3" s="711"/>
    </row>
    <row r="4" spans="1:2">
      <c r="A4" s="927">
        <f>IF(Chocolat!I3="",0,IF(Chocolat!D13&lt;&gt;"",2,IF(Chocolat!I3&lt;&gt;"",1,1)))</f>
        <v>0</v>
      </c>
      <c r="B4" s="929" t="s">
        <v>474</v>
      </c>
    </row>
    <row r="5" spans="1:2">
      <c r="A5" s="927"/>
      <c r="B5" s="928"/>
    </row>
    <row r="6" spans="1:2">
      <c r="A6" s="927">
        <f>IF(Pointure!I3="",0,IF(Pointure!D13&lt;&gt;"",2,IF(Pointure!I3&lt;&gt;"",1,1)))</f>
        <v>0</v>
      </c>
      <c r="B6" s="928" t="s">
        <v>476</v>
      </c>
    </row>
    <row r="7" spans="1:2">
      <c r="A7" s="927"/>
      <c r="B7" s="928"/>
    </row>
  </sheetData>
  <sheetProtection password="8B0A" sheet="1" objects="1" scenarios="1"/>
  <mergeCells count="5">
    <mergeCell ref="A1:B3"/>
    <mergeCell ref="A4:A5"/>
    <mergeCell ref="A6:A7"/>
    <mergeCell ref="B6:B7"/>
    <mergeCell ref="B4:B5"/>
  </mergeCells>
  <conditionalFormatting sqref="A4:A7">
    <cfRule type="iconSet" priority="1">
      <iconSet iconSet="3TrafficLights2" showValue="0" reverse="1">
        <cfvo type="percent" val="0"/>
        <cfvo type="num" val="1"/>
        <cfvo type="num" val="2"/>
      </iconSet>
    </cfRule>
  </conditionalFormatting>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sheetPr codeName="Feuil40"/>
  <dimension ref="A1:M37"/>
  <sheetViews>
    <sheetView showGridLines="0" showRowColHeaders="0" workbookViewId="0">
      <selection sqref="A1:K1"/>
    </sheetView>
  </sheetViews>
  <sheetFormatPr baseColWidth="10" defaultColWidth="0" defaultRowHeight="15" zeroHeight="1"/>
  <cols>
    <col min="1" max="1" width="4.5703125" style="21" customWidth="1"/>
    <col min="2" max="2" width="8.28515625" style="21" customWidth="1"/>
    <col min="3" max="3" width="11.42578125" style="21" customWidth="1"/>
    <col min="4" max="4" width="11.7109375" style="21" customWidth="1"/>
    <col min="5" max="11" width="11.42578125" style="21" customWidth="1"/>
    <col min="12" max="12" width="11.42578125" style="21" hidden="1" customWidth="1"/>
    <col min="13" max="13" width="13.85546875" style="21" hidden="1" customWidth="1"/>
    <col min="14" max="16384" width="11.42578125" style="21" hidden="1"/>
  </cols>
  <sheetData>
    <row r="1" spans="1:13" ht="40.5" customHeight="1">
      <c r="A1" s="930" t="s">
        <v>498</v>
      </c>
      <c r="B1" s="930"/>
      <c r="C1" s="930"/>
      <c r="D1" s="930"/>
      <c r="E1" s="930"/>
      <c r="F1" s="930"/>
      <c r="G1" s="930"/>
      <c r="H1" s="930"/>
      <c r="I1" s="930"/>
      <c r="J1" s="930"/>
      <c r="K1" s="930"/>
      <c r="M1" s="486"/>
    </row>
    <row r="2" spans="1:13" ht="16.5" customHeight="1">
      <c r="A2" s="931"/>
      <c r="B2" s="932" t="s">
        <v>494</v>
      </c>
      <c r="C2" s="932"/>
      <c r="D2" s="932"/>
      <c r="E2" s="932"/>
      <c r="F2" s="932"/>
      <c r="G2" s="932"/>
      <c r="H2" s="932"/>
      <c r="I2" s="932"/>
      <c r="J2" s="932"/>
      <c r="K2" s="932"/>
      <c r="M2" s="490" t="str">
        <f>IF(M1&lt;&gt;"","accès dévérouillé","")</f>
        <v/>
      </c>
    </row>
    <row r="3" spans="1:13">
      <c r="A3" s="931"/>
      <c r="B3" s="933" t="s">
        <v>499</v>
      </c>
      <c r="C3" s="933"/>
      <c r="D3" s="933"/>
      <c r="E3" s="933"/>
      <c r="F3" s="933"/>
      <c r="G3" s="933"/>
      <c r="H3" s="933"/>
      <c r="I3" s="933"/>
      <c r="J3" s="933"/>
      <c r="K3" s="933"/>
    </row>
    <row r="4" spans="1:13">
      <c r="A4" s="931"/>
      <c r="B4" s="933"/>
      <c r="C4" s="933"/>
      <c r="D4" s="933"/>
      <c r="E4" s="933"/>
      <c r="F4" s="933"/>
      <c r="G4" s="933"/>
      <c r="H4" s="933"/>
      <c r="I4" s="933"/>
      <c r="J4" s="933"/>
      <c r="K4" s="933"/>
    </row>
    <row r="5" spans="1:13" ht="15.75" thickBot="1">
      <c r="A5" s="931"/>
      <c r="B5" s="933"/>
      <c r="C5" s="933"/>
      <c r="D5" s="933"/>
      <c r="E5" s="933"/>
      <c r="F5" s="933"/>
      <c r="G5" s="933"/>
      <c r="H5" s="933"/>
      <c r="I5" s="933"/>
      <c r="J5" s="933"/>
      <c r="K5" s="933"/>
    </row>
    <row r="6" spans="1:13" ht="15.75" thickBot="1">
      <c r="A6" s="931"/>
      <c r="B6" s="934" t="s">
        <v>492</v>
      </c>
      <c r="C6" s="934"/>
      <c r="D6" s="934"/>
      <c r="E6" s="934"/>
      <c r="F6" s="135" t="s">
        <v>95</v>
      </c>
      <c r="G6" s="136" t="s">
        <v>96</v>
      </c>
      <c r="H6" s="137" t="s">
        <v>97</v>
      </c>
      <c r="I6" s="518"/>
      <c r="J6" s="518"/>
      <c r="K6" s="518"/>
    </row>
    <row r="7" spans="1:13">
      <c r="A7" s="931"/>
      <c r="B7" s="934"/>
      <c r="C7" s="934"/>
      <c r="D7" s="934"/>
      <c r="E7" s="934"/>
      <c r="F7" s="491">
        <v>9</v>
      </c>
      <c r="G7" s="491">
        <v>2</v>
      </c>
      <c r="H7" s="491">
        <v>3</v>
      </c>
      <c r="I7" s="518"/>
      <c r="J7" s="518"/>
      <c r="K7" s="518"/>
    </row>
    <row r="8" spans="1:13">
      <c r="A8" s="931"/>
      <c r="B8" s="933" t="s">
        <v>493</v>
      </c>
      <c r="C8" s="933"/>
      <c r="D8" s="933"/>
      <c r="E8" s="933"/>
      <c r="F8" s="933"/>
      <c r="G8" s="933"/>
      <c r="H8" s="933"/>
      <c r="I8" s="933"/>
      <c r="J8" s="933"/>
      <c r="K8" s="933"/>
    </row>
    <row r="9" spans="1:13">
      <c r="A9" s="931"/>
      <c r="B9" s="933"/>
      <c r="C9" s="933"/>
      <c r="D9" s="933"/>
      <c r="E9" s="933"/>
      <c r="F9" s="933"/>
      <c r="G9" s="933"/>
      <c r="H9" s="933"/>
      <c r="I9" s="933"/>
      <c r="J9" s="933"/>
      <c r="K9" s="933"/>
    </row>
    <row r="10" spans="1:13" ht="15.75" thickBot="1">
      <c r="A10" s="931"/>
      <c r="B10" s="933"/>
      <c r="C10" s="933"/>
      <c r="D10" s="933"/>
      <c r="E10" s="933"/>
      <c r="F10" s="933"/>
      <c r="G10" s="933"/>
      <c r="H10" s="933"/>
      <c r="I10" s="933"/>
      <c r="J10" s="933"/>
      <c r="K10" s="933"/>
    </row>
    <row r="11" spans="1:13" ht="15.75" thickBot="1">
      <c r="A11" s="931"/>
      <c r="B11" s="897"/>
      <c r="C11" s="897"/>
      <c r="D11" s="897"/>
      <c r="E11" s="897"/>
      <c r="F11" s="135" t="s">
        <v>95</v>
      </c>
      <c r="G11" s="136" t="s">
        <v>96</v>
      </c>
      <c r="H11" s="137" t="s">
        <v>97</v>
      </c>
      <c r="I11" s="897"/>
      <c r="J11" s="897"/>
      <c r="K11" s="897"/>
    </row>
    <row r="12" spans="1:13" ht="15.75" thickBot="1">
      <c r="A12" s="931"/>
      <c r="B12" s="897"/>
      <c r="C12" s="897"/>
      <c r="D12" s="897"/>
      <c r="E12" s="897"/>
      <c r="F12" s="489" t="s">
        <v>290</v>
      </c>
      <c r="G12" s="489" t="s">
        <v>290</v>
      </c>
      <c r="H12" s="489" t="s">
        <v>290</v>
      </c>
      <c r="I12" s="897"/>
      <c r="J12" s="897"/>
      <c r="K12" s="897"/>
    </row>
    <row r="13" spans="1:13" ht="15.75" thickBot="1">
      <c r="A13" s="931"/>
      <c r="B13" s="897"/>
      <c r="C13" s="897"/>
      <c r="D13" s="897"/>
      <c r="E13" s="897"/>
      <c r="F13" s="498"/>
      <c r="G13" s="499"/>
      <c r="H13" s="500"/>
      <c r="I13" s="897"/>
      <c r="J13" s="897"/>
      <c r="K13" s="897"/>
      <c r="L13" s="492" t="str">
        <f>IF(OR(F13="",G13="",H13=""),"",IF(AND(F13&gt;0,F13&lt;=9,G13&gt;=0,G13&lt;=9,H13&gt;=0,H13&lt;=9,F13&gt;H13),1,0))</f>
        <v/>
      </c>
    </row>
    <row r="14" spans="1:13">
      <c r="A14" s="931"/>
      <c r="B14" s="897"/>
      <c r="C14" s="897"/>
      <c r="D14" s="897"/>
      <c r="E14" s="897"/>
      <c r="F14" s="897"/>
      <c r="G14" s="897"/>
      <c r="H14" s="897"/>
      <c r="I14" s="897"/>
      <c r="J14" s="897"/>
      <c r="K14" s="897"/>
      <c r="L14" s="501"/>
    </row>
    <row r="15" spans="1:13" ht="15.75">
      <c r="A15" s="931"/>
      <c r="B15" s="935" t="str">
        <f>IF($L$24&gt;=2,"On soustrait son nombre 'miroir' : ","")</f>
        <v/>
      </c>
      <c r="C15" s="935"/>
      <c r="D15" s="935"/>
      <c r="E15" s="496" t="str">
        <f>IF($L$24&gt;=3," - ","")</f>
        <v/>
      </c>
      <c r="F15" s="488" t="str">
        <f>IF($L$24&gt;=3,H13,"")</f>
        <v/>
      </c>
      <c r="G15" s="488" t="str">
        <f>IF($L$24&gt;=3,G13,"")</f>
        <v/>
      </c>
      <c r="H15" s="488" t="str">
        <f>IF($L$24&gt;=3,F13,"")</f>
        <v/>
      </c>
      <c r="I15" s="897"/>
      <c r="J15" s="897"/>
      <c r="K15" s="897"/>
      <c r="L15" s="501"/>
    </row>
    <row r="16" spans="1:13" ht="16.5" customHeight="1" thickBot="1">
      <c r="A16" s="931"/>
      <c r="B16" s="897"/>
      <c r="C16" s="897"/>
      <c r="D16" s="897"/>
      <c r="E16" s="897"/>
      <c r="F16" s="897"/>
      <c r="G16" s="897"/>
      <c r="H16" s="897"/>
      <c r="I16" s="897"/>
      <c r="J16" s="897"/>
      <c r="K16" s="897"/>
      <c r="L16" s="501"/>
    </row>
    <row r="17" spans="1:12" ht="0.75" customHeight="1" thickBot="1">
      <c r="A17" s="931"/>
      <c r="B17" s="935" t="str">
        <f>IF($L$24&gt;=4,"On calcule le sous-total : ","")</f>
        <v/>
      </c>
      <c r="C17" s="935"/>
      <c r="D17" s="935"/>
      <c r="E17" s="497"/>
      <c r="F17" s="494"/>
      <c r="G17" s="494"/>
      <c r="H17" s="495"/>
      <c r="I17" s="518"/>
      <c r="J17" s="518"/>
      <c r="K17" s="518"/>
      <c r="L17" s="501"/>
    </row>
    <row r="18" spans="1:12" ht="15.75">
      <c r="A18" s="931"/>
      <c r="B18" s="935"/>
      <c r="C18" s="935"/>
      <c r="D18" s="935"/>
      <c r="E18" s="496" t="str">
        <f>IF($L$24&gt;=5," = ","")</f>
        <v/>
      </c>
      <c r="F18" s="488" t="str">
        <f>IF($L$24&gt;=5,F13-F15-1,"")</f>
        <v/>
      </c>
      <c r="G18" s="488" t="str">
        <f>IF($L$24&gt;=5,G13+10-G15-1,"")</f>
        <v/>
      </c>
      <c r="H18" s="488" t="str">
        <f>IF($L$24&gt;=5,H13+10-H15,"")</f>
        <v/>
      </c>
      <c r="I18" s="518"/>
      <c r="J18" s="518"/>
      <c r="K18" s="518"/>
      <c r="L18" s="501"/>
    </row>
    <row r="19" spans="1:12" ht="15.75" customHeight="1">
      <c r="A19" s="931"/>
      <c r="B19" s="936"/>
      <c r="C19" s="936"/>
      <c r="D19" s="936"/>
      <c r="E19" s="936"/>
      <c r="F19" s="936"/>
      <c r="G19" s="936"/>
      <c r="H19" s="936"/>
      <c r="I19" s="936"/>
      <c r="J19" s="936"/>
      <c r="K19" s="936"/>
      <c r="L19" s="501"/>
    </row>
    <row r="20" spans="1:12" ht="15.75">
      <c r="A20" s="931"/>
      <c r="B20" s="935" t="str">
        <f>IF($L$24&gt;=6,"On additionne son nombre 'miroir' : ","")</f>
        <v/>
      </c>
      <c r="C20" s="935"/>
      <c r="D20" s="935"/>
      <c r="E20" s="496" t="str">
        <f>IF($L$24&gt;=7," + ","")</f>
        <v/>
      </c>
      <c r="F20" s="488" t="str">
        <f>IF($L$24&gt;=7,H18,"")</f>
        <v/>
      </c>
      <c r="G20" s="488" t="str">
        <f>IF($L$24&gt;=7,G18,"")</f>
        <v/>
      </c>
      <c r="H20" s="488" t="str">
        <f>IF($L$24&gt;=7,F18,"")</f>
        <v/>
      </c>
      <c r="I20" s="897"/>
      <c r="J20" s="897"/>
      <c r="K20" s="897"/>
      <c r="L20" s="501"/>
    </row>
    <row r="21" spans="1:12" ht="15.75" thickBot="1">
      <c r="A21" s="931"/>
      <c r="B21" s="936"/>
      <c r="C21" s="936"/>
      <c r="D21" s="936"/>
      <c r="E21" s="936"/>
      <c r="F21" s="936"/>
      <c r="G21" s="936"/>
      <c r="H21" s="936"/>
      <c r="I21" s="936"/>
      <c r="J21" s="936"/>
      <c r="K21" s="936"/>
      <c r="L21" s="501"/>
    </row>
    <row r="22" spans="1:12" ht="3" customHeight="1" thickBot="1">
      <c r="A22" s="931"/>
      <c r="B22" s="935" t="str">
        <f>IF($L$24&gt;=8,"On calcule le total : ","")</f>
        <v/>
      </c>
      <c r="C22" s="935"/>
      <c r="D22" s="935"/>
      <c r="E22" s="493"/>
      <c r="F22" s="494"/>
      <c r="G22" s="494"/>
      <c r="H22" s="495"/>
      <c r="I22" s="518"/>
      <c r="J22" s="518"/>
      <c r="K22" s="518"/>
      <c r="L22" s="501"/>
    </row>
    <row r="23" spans="1:12" ht="18.75">
      <c r="A23" s="931"/>
      <c r="B23" s="935"/>
      <c r="C23" s="935"/>
      <c r="D23" s="935"/>
      <c r="E23" s="502" t="str">
        <f>IF($L$24=9,1,"")</f>
        <v/>
      </c>
      <c r="F23" s="502" t="str">
        <f>IF($L$24=9,0,"")</f>
        <v/>
      </c>
      <c r="G23" s="502" t="str">
        <f>IF($L$24=9,8,"")</f>
        <v/>
      </c>
      <c r="H23" s="502" t="str">
        <f>IF($L$24=9,9,"")</f>
        <v/>
      </c>
      <c r="I23" s="518"/>
      <c r="J23" s="518"/>
      <c r="K23" s="518"/>
      <c r="L23" s="501"/>
    </row>
    <row r="24" spans="1:12">
      <c r="A24" s="931"/>
      <c r="B24" s="937" t="str">
        <f>IF(L24=9,"Le résultat sera toujours le même !","")</f>
        <v/>
      </c>
      <c r="C24" s="937"/>
      <c r="D24" s="937"/>
      <c r="E24" s="937"/>
      <c r="F24" s="937"/>
      <c r="G24" s="937"/>
      <c r="H24" s="937"/>
      <c r="I24" s="937"/>
      <c r="J24" s="937"/>
      <c r="K24" s="937"/>
      <c r="L24" s="492">
        <f>IF(L13="",0,SUM(L13:L23))</f>
        <v>0</v>
      </c>
    </row>
    <row r="25" spans="1:12" ht="18.75" customHeight="1">
      <c r="A25" s="931"/>
      <c r="B25" s="937"/>
      <c r="C25" s="937"/>
      <c r="D25" s="937"/>
      <c r="E25" s="937"/>
      <c r="F25" s="937"/>
      <c r="G25" s="937"/>
      <c r="H25" s="937"/>
      <c r="I25" s="937"/>
      <c r="J25" s="937"/>
      <c r="K25" s="937"/>
    </row>
    <row r="26" spans="1:12" ht="18.75" customHeight="1">
      <c r="A26" s="931"/>
      <c r="B26" s="938" t="str">
        <f>IF(AND((F13+G13+H13)&lt;&gt;0,H13&gt;=F13),"Merci d'indiquer un nombre dont l'Unité (U) est inférieure à la Centaine (C) ! ",IF(L24=9,"Recommencer ?",IF(AND(L24&gt;=1,L24&lt;9),"Afficher l'étape suivante","")))</f>
        <v/>
      </c>
      <c r="C26" s="938"/>
      <c r="D26" s="938"/>
      <c r="E26" s="938"/>
      <c r="F26" s="938"/>
      <c r="G26" s="938"/>
      <c r="H26" s="938"/>
      <c r="I26" s="938"/>
      <c r="J26" s="938"/>
      <c r="K26" s="938"/>
    </row>
    <row r="27" spans="1:12">
      <c r="A27" s="931"/>
      <c r="B27" s="938"/>
      <c r="C27" s="938"/>
      <c r="D27" s="938"/>
      <c r="E27" s="938"/>
      <c r="F27" s="938"/>
      <c r="G27" s="938"/>
      <c r="H27" s="938"/>
      <c r="I27" s="938"/>
      <c r="J27" s="938"/>
      <c r="K27" s="938"/>
    </row>
    <row r="28" spans="1:12" hidden="1"/>
    <row r="29" spans="1:12" hidden="1"/>
    <row r="30" spans="1:12" hidden="1"/>
    <row r="31" spans="1:12" hidden="1"/>
    <row r="32" spans="1:12" hidden="1"/>
    <row r="33" hidden="1"/>
    <row r="34" hidden="1"/>
    <row r="35" hidden="1"/>
    <row r="36" hidden="1"/>
    <row r="37" hidden="1"/>
  </sheetData>
  <sheetProtection password="8B0A" sheet="1" objects="1" scenarios="1"/>
  <mergeCells count="23">
    <mergeCell ref="B26:K27"/>
    <mergeCell ref="B17:D18"/>
    <mergeCell ref="B22:D23"/>
    <mergeCell ref="I20:K20"/>
    <mergeCell ref="I22:K23"/>
    <mergeCell ref="I17:K18"/>
    <mergeCell ref="B21:K21"/>
    <mergeCell ref="A1:K1"/>
    <mergeCell ref="A2:A27"/>
    <mergeCell ref="B2:K2"/>
    <mergeCell ref="B3:K5"/>
    <mergeCell ref="B6:E7"/>
    <mergeCell ref="I6:K7"/>
    <mergeCell ref="B8:K10"/>
    <mergeCell ref="B11:E13"/>
    <mergeCell ref="I11:K13"/>
    <mergeCell ref="B15:D15"/>
    <mergeCell ref="B20:D20"/>
    <mergeCell ref="B14:K14"/>
    <mergeCell ref="B16:K16"/>
    <mergeCell ref="I15:K15"/>
    <mergeCell ref="B19:K19"/>
    <mergeCell ref="B24:K25"/>
  </mergeCells>
  <conditionalFormatting sqref="F11:H11 F6:H6">
    <cfRule type="expression" dxfId="36" priority="5">
      <formula>$I$15&lt;&gt;""</formula>
    </cfRule>
  </conditionalFormatting>
  <conditionalFormatting sqref="E17:H17">
    <cfRule type="expression" dxfId="35" priority="3">
      <formula>$E$18=""</formula>
    </cfRule>
  </conditionalFormatting>
  <conditionalFormatting sqref="E22:H22">
    <cfRule type="expression" dxfId="34" priority="2">
      <formula>$E$23=""</formula>
    </cfRule>
  </conditionalFormatting>
  <conditionalFormatting sqref="B26:K27">
    <cfRule type="expression" dxfId="33" priority="1">
      <formula>$B$26="Merci d'indiquer un nombre dont l'Unité (U) est inférieure à la Centaine (C) ! "</formula>
    </cfRule>
  </conditionalFormatting>
  <pageMargins left="0.7" right="0.7" top="0.75" bottom="0.75" header="0.3" footer="0.3"/>
  <pageSetup paperSize="9" orientation="portrait" verticalDpi="0" r:id="rId1"/>
  <drawing r:id="rId2"/>
  <legacyDrawing r:id="rId3"/>
</worksheet>
</file>

<file path=xl/worksheets/sheet41.xml><?xml version="1.0" encoding="utf-8"?>
<worksheet xmlns="http://schemas.openxmlformats.org/spreadsheetml/2006/main" xmlns:r="http://schemas.openxmlformats.org/officeDocument/2006/relationships">
  <sheetPr codeName="Feuil41"/>
  <dimension ref="A1:U49"/>
  <sheetViews>
    <sheetView showGridLines="0" showRowColHeaders="0" workbookViewId="0">
      <selection activeCell="M1" sqref="M1"/>
    </sheetView>
  </sheetViews>
  <sheetFormatPr baseColWidth="10" defaultColWidth="0" defaultRowHeight="15" zeroHeight="1"/>
  <cols>
    <col min="1" max="1" width="4.42578125" style="21" customWidth="1"/>
    <col min="2" max="2" width="8.28515625" style="21" customWidth="1"/>
    <col min="3" max="11" width="11.42578125" style="21" customWidth="1"/>
    <col min="12" max="18" width="11.42578125" style="21" hidden="1" customWidth="1"/>
    <col min="19" max="19" width="4" style="21" hidden="1" customWidth="1"/>
    <col min="20" max="20" width="11.42578125" style="21" hidden="1" customWidth="1"/>
    <col min="21" max="21" width="0" style="21" hidden="1" customWidth="1"/>
    <col min="22" max="16384" width="11.42578125" style="21" hidden="1"/>
  </cols>
  <sheetData>
    <row r="1" spans="1:20" ht="40.5" customHeight="1">
      <c r="A1" s="930" t="s">
        <v>495</v>
      </c>
      <c r="B1" s="930"/>
      <c r="C1" s="930"/>
      <c r="D1" s="930"/>
      <c r="E1" s="930"/>
      <c r="F1" s="930"/>
      <c r="G1" s="930"/>
      <c r="H1" s="930"/>
      <c r="I1" s="930"/>
      <c r="J1" s="930"/>
      <c r="K1" s="930"/>
      <c r="L1" s="486"/>
      <c r="M1" s="486"/>
    </row>
    <row r="2" spans="1:20" ht="17.25" customHeight="1">
      <c r="A2" s="931"/>
      <c r="B2" s="932" t="s">
        <v>494</v>
      </c>
      <c r="C2" s="932"/>
      <c r="D2" s="932"/>
      <c r="E2" s="932"/>
      <c r="F2" s="932"/>
      <c r="G2" s="932"/>
      <c r="H2" s="932"/>
      <c r="I2" s="932"/>
      <c r="J2" s="932"/>
      <c r="K2" s="932"/>
      <c r="M2" s="490" t="str">
        <f>IF(M1&lt;&gt;"","accès dévérouillé","")</f>
        <v/>
      </c>
    </row>
    <row r="3" spans="1:20">
      <c r="A3" s="931"/>
      <c r="B3" s="940" t="str">
        <f>IF(D8="","","Sélectionner ci-dessous, pour chaque colonne et chaque ligne, un seul nombre :")</f>
        <v/>
      </c>
      <c r="C3" s="940"/>
      <c r="D3" s="940"/>
      <c r="E3" s="940"/>
      <c r="F3" s="940"/>
      <c r="G3" s="940"/>
      <c r="H3" s="940"/>
      <c r="I3" s="940"/>
      <c r="J3" s="940"/>
      <c r="K3" s="940"/>
    </row>
    <row r="4" spans="1:20">
      <c r="A4" s="931"/>
      <c r="B4" s="940"/>
      <c r="C4" s="940"/>
      <c r="D4" s="940"/>
      <c r="E4" s="940"/>
      <c r="F4" s="940"/>
      <c r="G4" s="940"/>
      <c r="H4" s="940"/>
      <c r="I4" s="940"/>
      <c r="J4" s="940"/>
      <c r="K4" s="940"/>
    </row>
    <row r="5" spans="1:20" ht="16.5" thickBot="1">
      <c r="A5" s="931"/>
      <c r="B5" s="941" t="str">
        <f>IF(B3="","","Voir un ex. ? ==&gt;&gt;")</f>
        <v/>
      </c>
      <c r="C5" s="941"/>
      <c r="D5" s="941"/>
      <c r="E5" s="941"/>
      <c r="F5" s="941"/>
      <c r="G5" s="941"/>
      <c r="H5" s="941"/>
      <c r="I5" s="941"/>
      <c r="J5" s="941"/>
      <c r="K5" s="506"/>
      <c r="N5" s="505">
        <v>1</v>
      </c>
    </row>
    <row r="6" spans="1:20">
      <c r="A6" s="931"/>
      <c r="N6" s="480">
        <v>25</v>
      </c>
      <c r="O6" s="38">
        <v>23</v>
      </c>
      <c r="P6" s="38">
        <v>28</v>
      </c>
      <c r="Q6" s="38">
        <v>21</v>
      </c>
      <c r="R6" s="481">
        <v>26</v>
      </c>
      <c r="S6" s="38"/>
      <c r="T6" s="481">
        <f>SUM(N6:R6)</f>
        <v>123</v>
      </c>
    </row>
    <row r="7" spans="1:20">
      <c r="A7" s="931"/>
      <c r="N7" s="482">
        <v>13</v>
      </c>
      <c r="O7" s="71">
        <v>11</v>
      </c>
      <c r="P7" s="71">
        <v>16</v>
      </c>
      <c r="Q7" s="71">
        <v>9</v>
      </c>
      <c r="R7" s="73">
        <v>14</v>
      </c>
      <c r="S7" s="71"/>
      <c r="T7" s="73">
        <f>SUM(N7:R7)</f>
        <v>63</v>
      </c>
    </row>
    <row r="8" spans="1:20">
      <c r="A8" s="931"/>
      <c r="B8" s="897"/>
      <c r="C8" s="897"/>
      <c r="D8" s="487" t="str">
        <f t="shared" ref="D8:H12" si="0">IF($L$1=1,N6,IF($L$1=2,N16,IF($L$1=3,N25,IF($L$1=4,N34,IF($L$1=5,N43,"")))))</f>
        <v/>
      </c>
      <c r="E8" s="487" t="str">
        <f t="shared" si="0"/>
        <v/>
      </c>
      <c r="F8" s="487" t="str">
        <f t="shared" si="0"/>
        <v/>
      </c>
      <c r="G8" s="487" t="str">
        <f t="shared" si="0"/>
        <v/>
      </c>
      <c r="H8" s="487" t="str">
        <f t="shared" si="0"/>
        <v/>
      </c>
      <c r="I8" s="942" t="str">
        <f>IF(B17="","Afficher",IF(B17="Le résultat de l'addition sera toujours = 95 !","Recommencer ?",IF(B17="Une erreur de saisie a été détectée..!","# Erreur #","")))</f>
        <v>Afficher</v>
      </c>
      <c r="J8" s="942"/>
      <c r="K8" s="942"/>
      <c r="L8" s="485">
        <f>SUM(D8:H8)</f>
        <v>0</v>
      </c>
      <c r="N8" s="482">
        <v>20</v>
      </c>
      <c r="O8" s="71">
        <v>18</v>
      </c>
      <c r="P8" s="71">
        <v>23</v>
      </c>
      <c r="Q8" s="71">
        <v>16</v>
      </c>
      <c r="R8" s="73">
        <v>21</v>
      </c>
      <c r="S8" s="71"/>
      <c r="T8" s="73">
        <f>SUM(N8:R8)</f>
        <v>98</v>
      </c>
    </row>
    <row r="9" spans="1:20">
      <c r="A9" s="931"/>
      <c r="B9" s="897"/>
      <c r="C9" s="897"/>
      <c r="D9" s="487" t="str">
        <f t="shared" si="0"/>
        <v/>
      </c>
      <c r="E9" s="487" t="str">
        <f t="shared" si="0"/>
        <v/>
      </c>
      <c r="F9" s="487" t="str">
        <f t="shared" si="0"/>
        <v/>
      </c>
      <c r="G9" s="487" t="str">
        <f t="shared" si="0"/>
        <v/>
      </c>
      <c r="H9" s="487" t="str">
        <f t="shared" si="0"/>
        <v/>
      </c>
      <c r="I9" s="942"/>
      <c r="J9" s="942"/>
      <c r="K9" s="942"/>
      <c r="L9" s="485">
        <f t="shared" ref="L9:L12" si="1">SUM(D9:H9)</f>
        <v>0</v>
      </c>
      <c r="N9" s="482">
        <v>28</v>
      </c>
      <c r="O9" s="71">
        <v>26</v>
      </c>
      <c r="P9" s="71">
        <v>31</v>
      </c>
      <c r="Q9" s="71">
        <v>24</v>
      </c>
      <c r="R9" s="73">
        <v>29</v>
      </c>
      <c r="S9" s="71"/>
      <c r="T9" s="73">
        <f>SUM(N9:R9)</f>
        <v>138</v>
      </c>
    </row>
    <row r="10" spans="1:20" ht="15.75" thickBot="1">
      <c r="A10" s="931"/>
      <c r="B10" s="897"/>
      <c r="C10" s="897"/>
      <c r="D10" s="487" t="str">
        <f t="shared" si="0"/>
        <v/>
      </c>
      <c r="E10" s="487" t="str">
        <f t="shared" si="0"/>
        <v/>
      </c>
      <c r="F10" s="487" t="str">
        <f t="shared" si="0"/>
        <v/>
      </c>
      <c r="G10" s="487" t="str">
        <f t="shared" si="0"/>
        <v/>
      </c>
      <c r="H10" s="487" t="str">
        <f t="shared" si="0"/>
        <v/>
      </c>
      <c r="I10" s="942"/>
      <c r="J10" s="942"/>
      <c r="K10" s="942"/>
      <c r="L10" s="485">
        <f t="shared" si="1"/>
        <v>0</v>
      </c>
      <c r="N10" s="483">
        <v>11</v>
      </c>
      <c r="O10" s="24">
        <v>9</v>
      </c>
      <c r="P10" s="24">
        <v>14</v>
      </c>
      <c r="Q10" s="24">
        <v>7</v>
      </c>
      <c r="R10" s="23">
        <v>12</v>
      </c>
      <c r="S10" s="71"/>
      <c r="T10" s="73">
        <f>SUM(N10:R10)</f>
        <v>53</v>
      </c>
    </row>
    <row r="11" spans="1:20">
      <c r="A11" s="931"/>
      <c r="B11" s="897"/>
      <c r="C11" s="897"/>
      <c r="D11" s="487" t="str">
        <f t="shared" si="0"/>
        <v/>
      </c>
      <c r="E11" s="487" t="str">
        <f t="shared" si="0"/>
        <v/>
      </c>
      <c r="F11" s="487" t="str">
        <f t="shared" si="0"/>
        <v/>
      </c>
      <c r="G11" s="487" t="str">
        <f t="shared" si="0"/>
        <v/>
      </c>
      <c r="H11" s="487" t="str">
        <f t="shared" si="0"/>
        <v/>
      </c>
      <c r="I11" s="942"/>
      <c r="J11" s="942"/>
      <c r="K11" s="942"/>
      <c r="L11" s="485">
        <f t="shared" si="1"/>
        <v>0</v>
      </c>
      <c r="N11" s="482"/>
      <c r="O11" s="71"/>
      <c r="P11" s="71"/>
      <c r="Q11" s="71"/>
      <c r="R11" s="71"/>
      <c r="S11" s="71"/>
      <c r="T11" s="73"/>
    </row>
    <row r="12" spans="1:20" ht="15.75" thickBot="1">
      <c r="A12" s="931"/>
      <c r="B12" s="897"/>
      <c r="C12" s="897"/>
      <c r="D12" s="487" t="str">
        <f t="shared" si="0"/>
        <v/>
      </c>
      <c r="E12" s="487" t="str">
        <f t="shared" si="0"/>
        <v/>
      </c>
      <c r="F12" s="487" t="str">
        <f t="shared" si="0"/>
        <v/>
      </c>
      <c r="G12" s="487" t="str">
        <f t="shared" si="0"/>
        <v/>
      </c>
      <c r="H12" s="487" t="str">
        <f t="shared" si="0"/>
        <v/>
      </c>
      <c r="I12" s="942"/>
      <c r="J12" s="942"/>
      <c r="K12" s="942"/>
      <c r="L12" s="485">
        <f t="shared" si="1"/>
        <v>0</v>
      </c>
      <c r="N12" s="483">
        <f>SUM(N6:N10)</f>
        <v>97</v>
      </c>
      <c r="O12" s="24">
        <f>SUM(O6:O10)</f>
        <v>87</v>
      </c>
      <c r="P12" s="24">
        <f>SUM(P6:P10)</f>
        <v>112</v>
      </c>
      <c r="Q12" s="24">
        <f>SUM(Q6:Q10)</f>
        <v>77</v>
      </c>
      <c r="R12" s="24">
        <f>SUM(R6:R10)</f>
        <v>102</v>
      </c>
      <c r="S12" s="24"/>
      <c r="T12" s="23">
        <f>SUM(N12:R12)/5</f>
        <v>95</v>
      </c>
    </row>
    <row r="13" spans="1:20">
      <c r="A13" s="931"/>
      <c r="B13" s="897"/>
      <c r="C13" s="897"/>
      <c r="D13" s="897"/>
      <c r="E13" s="897"/>
      <c r="F13" s="897"/>
      <c r="G13" s="897"/>
      <c r="H13" s="897"/>
      <c r="I13" s="897"/>
      <c r="J13" s="897"/>
      <c r="K13" s="897"/>
      <c r="L13" s="485"/>
    </row>
    <row r="14" spans="1:20" hidden="1">
      <c r="A14" s="931"/>
      <c r="B14" s="484" t="s">
        <v>497</v>
      </c>
      <c r="C14" s="484" t="s">
        <v>496</v>
      </c>
      <c r="D14" s="485">
        <f>SUM(D8:D12)</f>
        <v>0</v>
      </c>
      <c r="E14" s="485">
        <f t="shared" ref="E14:H14" si="2">SUM(E8:E12)</f>
        <v>0</v>
      </c>
      <c r="F14" s="485">
        <f t="shared" si="2"/>
        <v>0</v>
      </c>
      <c r="G14" s="485">
        <f t="shared" si="2"/>
        <v>0</v>
      </c>
      <c r="H14" s="485">
        <f t="shared" si="2"/>
        <v>0</v>
      </c>
      <c r="I14" s="484"/>
      <c r="J14" s="484"/>
      <c r="K14" s="484"/>
      <c r="L14" s="507" t="b">
        <f>D14+E14+F14+G14+H14=L8+L9+L10+L11+L12</f>
        <v>1</v>
      </c>
    </row>
    <row r="15" spans="1:20" ht="16.5" thickBot="1">
      <c r="A15" s="931"/>
      <c r="B15" s="940" t="str">
        <f>IF(D8="","","Inscrivez-les ci-après :")</f>
        <v/>
      </c>
      <c r="C15" s="940"/>
      <c r="D15" s="940"/>
      <c r="E15" s="940"/>
      <c r="F15" s="940"/>
      <c r="G15" s="940"/>
      <c r="H15" s="940"/>
      <c r="I15" s="940"/>
      <c r="J15" s="940"/>
      <c r="K15" s="940"/>
      <c r="N15" s="505">
        <v>2</v>
      </c>
    </row>
    <row r="16" spans="1:20" ht="16.5" thickBot="1">
      <c r="A16" s="931"/>
      <c r="B16" s="897"/>
      <c r="C16" s="810"/>
      <c r="D16" s="503"/>
      <c r="E16" s="503"/>
      <c r="F16" s="465"/>
      <c r="G16" s="504"/>
      <c r="H16" s="504"/>
      <c r="I16" s="798"/>
      <c r="J16" s="518"/>
      <c r="K16" s="518"/>
      <c r="L16" s="508">
        <f>IF(OR(AND(D16&lt;&gt;0,D16&lt;&gt;D8,D16&lt;&gt;D9,D16&lt;&gt;D10,D16&lt;&gt;D11,D16&lt;&gt;D12),AND(E16&lt;&gt;0,E16&lt;&gt;E8,E16&lt;&gt;E9,E16&lt;&gt;E10,E16&lt;&gt;E11,E16&lt;&gt;E12),AND(F16&lt;&gt;0,F16&lt;&gt;F8,F16&lt;&gt;F9,F16&lt;&gt;F10,F16&lt;&gt;F11,F16&lt;&gt;F12),AND(G16&lt;&gt;0,G16&lt;&gt;G8,G16&lt;&gt;G9,G16&lt;&gt;G10,G16&lt;&gt;G11,G16&lt;&gt;G12),AND(H16&lt;&gt;0,H16&lt;&gt;H8,H16&lt;&gt;H9,H16&lt;&gt;H10,H16&lt;&gt;H11,H16&lt;&gt;H12)),1,0)</f>
        <v>0</v>
      </c>
      <c r="N16" s="480">
        <v>14</v>
      </c>
      <c r="O16" s="38">
        <v>21</v>
      </c>
      <c r="P16" s="38">
        <v>26</v>
      </c>
      <c r="Q16" s="38">
        <v>12</v>
      </c>
      <c r="R16" s="481">
        <v>29</v>
      </c>
      <c r="S16" s="38"/>
      <c r="T16" s="481">
        <f>SUM(N16:R16)</f>
        <v>102</v>
      </c>
    </row>
    <row r="17" spans="1:20">
      <c r="A17" s="931"/>
      <c r="B17" s="939" t="str">
        <f>IF(AND(D16&lt;&gt;0,E16&lt;&gt;0,F16&lt;&gt;0,G16&lt;&gt;0,H16&lt;&gt;0,D16+E16+F16+G16+H16=95),"Le résultat de l'addition sera toujours = 95 !",IF(OR(L16=1,AND(D16&lt;&gt;0,E16&lt;&gt;0,F16&lt;&gt;0,G16&lt;&gt;0,H16&lt;&gt;0,D16+E16+F16+G16+H16&lt;&gt;95)),"Une erreur de saisie a été détectée..!",""))</f>
        <v/>
      </c>
      <c r="C17" s="939"/>
      <c r="D17" s="939"/>
      <c r="E17" s="939"/>
      <c r="F17" s="939"/>
      <c r="G17" s="939"/>
      <c r="H17" s="939"/>
      <c r="I17" s="939"/>
      <c r="J17" s="939"/>
      <c r="K17" s="939"/>
      <c r="N17" s="482">
        <v>9</v>
      </c>
      <c r="O17" s="71">
        <v>16</v>
      </c>
      <c r="P17" s="71">
        <v>21</v>
      </c>
      <c r="Q17" s="71">
        <v>7</v>
      </c>
      <c r="R17" s="73">
        <v>24</v>
      </c>
      <c r="S17" s="71"/>
      <c r="T17" s="73">
        <f>SUM(N17:R17)</f>
        <v>77</v>
      </c>
    </row>
    <row r="18" spans="1:20">
      <c r="A18" s="931"/>
      <c r="B18" s="939"/>
      <c r="C18" s="939"/>
      <c r="D18" s="939"/>
      <c r="E18" s="939"/>
      <c r="F18" s="939"/>
      <c r="G18" s="939"/>
      <c r="H18" s="939"/>
      <c r="I18" s="939"/>
      <c r="J18" s="939"/>
      <c r="K18" s="939"/>
      <c r="N18" s="482">
        <v>16</v>
      </c>
      <c r="O18" s="71">
        <v>23</v>
      </c>
      <c r="P18" s="71">
        <v>28</v>
      </c>
      <c r="Q18" s="71">
        <v>14</v>
      </c>
      <c r="R18" s="73">
        <v>31</v>
      </c>
      <c r="S18" s="71"/>
      <c r="T18" s="73">
        <f>SUM(N18:R18)</f>
        <v>112</v>
      </c>
    </row>
    <row r="19" spans="1:20">
      <c r="A19" s="931"/>
      <c r="B19" s="939"/>
      <c r="C19" s="939"/>
      <c r="D19" s="939"/>
      <c r="E19" s="939"/>
      <c r="F19" s="939"/>
      <c r="G19" s="939"/>
      <c r="H19" s="939"/>
      <c r="I19" s="939"/>
      <c r="J19" s="939"/>
      <c r="K19" s="939"/>
      <c r="N19" s="482">
        <v>11</v>
      </c>
      <c r="O19" s="71">
        <v>18</v>
      </c>
      <c r="P19" s="71">
        <v>23</v>
      </c>
      <c r="Q19" s="71">
        <v>9</v>
      </c>
      <c r="R19" s="73">
        <v>26</v>
      </c>
      <c r="S19" s="71"/>
      <c r="T19" s="73">
        <f>SUM(N19:R19)</f>
        <v>87</v>
      </c>
    </row>
    <row r="20" spans="1:20" ht="15.75" hidden="1" thickBot="1">
      <c r="A20" s="931"/>
      <c r="D20" s="21">
        <f>IF(AND(D16&lt;&gt;0,D16&lt;&gt;D8,D16&lt;&gt;D9,D16&lt;&gt;D10,D16&lt;&gt;D11,D16&lt;&gt;D12),1,0)</f>
        <v>0</v>
      </c>
      <c r="E20" s="21">
        <f>IF(AND(E16&lt;&gt;0,E16&lt;&gt;E8,E16&lt;&gt;E9,E16&lt;&gt;E10,E16&lt;&gt;E11,E16&lt;&gt;E12),1,0)</f>
        <v>0</v>
      </c>
      <c r="F20" s="21">
        <f>IF(AND(F16&lt;&gt;0,F16&lt;&gt;F8,F16&lt;&gt;F9,F16&lt;&gt;F10,F16&lt;&gt;F11,F16&lt;&gt;F12),1,0)</f>
        <v>0</v>
      </c>
      <c r="G20" s="21">
        <f>IF(AND(G16&lt;&gt;0,G16&lt;&gt;G8,G16&lt;&gt;G9,G16&lt;&gt;G10,G16&lt;&gt;G11,G16&lt;&gt;G12),1,0)</f>
        <v>0</v>
      </c>
      <c r="H20" s="21">
        <f>IF(AND(H16&lt;&gt;0,H16&lt;&gt;H8,H16&lt;&gt;H9,H16&lt;&gt;H10,H16&lt;&gt;H11,H16&lt;&gt;H12),1,0)</f>
        <v>0</v>
      </c>
      <c r="N20" s="483">
        <v>13</v>
      </c>
      <c r="O20" s="24">
        <v>20</v>
      </c>
      <c r="P20" s="24">
        <v>25</v>
      </c>
      <c r="Q20" s="24">
        <v>11</v>
      </c>
      <c r="R20" s="23">
        <v>28</v>
      </c>
      <c r="S20" s="71"/>
      <c r="T20" s="73">
        <f>SUM(N20:R20)</f>
        <v>97</v>
      </c>
    </row>
    <row r="21" spans="1:20" hidden="1">
      <c r="A21" s="931"/>
      <c r="N21" s="482"/>
      <c r="O21" s="71"/>
      <c r="P21" s="71"/>
      <c r="Q21" s="71"/>
      <c r="R21" s="71"/>
      <c r="S21" s="71"/>
      <c r="T21" s="73"/>
    </row>
    <row r="22" spans="1:20" ht="15.75" hidden="1" thickBot="1">
      <c r="A22" s="931"/>
      <c r="N22" s="483">
        <f>SUM(N25:N29)</f>
        <v>123</v>
      </c>
      <c r="O22" s="24">
        <f>SUM(O25:O29)</f>
        <v>63</v>
      </c>
      <c r="P22" s="24">
        <f>SUM(P25:P29)</f>
        <v>98</v>
      </c>
      <c r="Q22" s="24">
        <f>SUM(Q25:Q29)</f>
        <v>138</v>
      </c>
      <c r="R22" s="24">
        <f>SUM(R25:R29)</f>
        <v>53</v>
      </c>
      <c r="S22" s="24"/>
      <c r="T22" s="23">
        <f>SUM(T25:T29)/5</f>
        <v>95</v>
      </c>
    </row>
    <row r="23" spans="1:20" hidden="1">
      <c r="A23" s="931"/>
    </row>
    <row r="24" spans="1:20" ht="16.5" hidden="1" thickBot="1">
      <c r="A24" s="931"/>
      <c r="N24" s="505">
        <v>3</v>
      </c>
    </row>
    <row r="25" spans="1:20" hidden="1">
      <c r="A25" s="931"/>
      <c r="N25" s="480">
        <v>28</v>
      </c>
      <c r="O25" s="38">
        <v>16</v>
      </c>
      <c r="P25" s="38">
        <v>23</v>
      </c>
      <c r="Q25" s="38">
        <v>31</v>
      </c>
      <c r="R25" s="481">
        <v>14</v>
      </c>
      <c r="S25" s="38"/>
      <c r="T25" s="481">
        <f>SUM(N25:R25)</f>
        <v>112</v>
      </c>
    </row>
    <row r="26" spans="1:20" hidden="1">
      <c r="A26" s="931"/>
      <c r="N26" s="482">
        <v>21</v>
      </c>
      <c r="O26" s="71">
        <v>9</v>
      </c>
      <c r="P26" s="71">
        <v>16</v>
      </c>
      <c r="Q26" s="71">
        <v>24</v>
      </c>
      <c r="R26" s="73">
        <v>7</v>
      </c>
      <c r="S26" s="71"/>
      <c r="T26" s="73">
        <f>SUM(N26:R26)</f>
        <v>77</v>
      </c>
    </row>
    <row r="27" spans="1:20" hidden="1">
      <c r="A27" s="931"/>
      <c r="N27" s="482">
        <v>23</v>
      </c>
      <c r="O27" s="71">
        <v>11</v>
      </c>
      <c r="P27" s="71">
        <v>18</v>
      </c>
      <c r="Q27" s="71">
        <v>26</v>
      </c>
      <c r="R27" s="73">
        <v>9</v>
      </c>
      <c r="S27" s="71"/>
      <c r="T27" s="73">
        <f>SUM(N27:R27)</f>
        <v>87</v>
      </c>
    </row>
    <row r="28" spans="1:20" hidden="1">
      <c r="A28" s="931"/>
      <c r="N28" s="482">
        <v>26</v>
      </c>
      <c r="O28" s="71">
        <v>14</v>
      </c>
      <c r="P28" s="71">
        <v>21</v>
      </c>
      <c r="Q28" s="71">
        <v>29</v>
      </c>
      <c r="R28" s="73">
        <v>12</v>
      </c>
      <c r="S28" s="71"/>
      <c r="T28" s="73">
        <f>SUM(N28:R28)</f>
        <v>102</v>
      </c>
    </row>
    <row r="29" spans="1:20" ht="15.75" hidden="1" thickBot="1">
      <c r="A29" s="931"/>
      <c r="N29" s="483">
        <v>25</v>
      </c>
      <c r="O29" s="24">
        <v>13</v>
      </c>
      <c r="P29" s="24">
        <v>20</v>
      </c>
      <c r="Q29" s="24">
        <v>28</v>
      </c>
      <c r="R29" s="23">
        <v>11</v>
      </c>
      <c r="S29" s="71"/>
      <c r="T29" s="73">
        <f>SUM(N29:R29)</f>
        <v>97</v>
      </c>
    </row>
    <row r="30" spans="1:20" hidden="1">
      <c r="A30" s="931"/>
      <c r="N30" s="482"/>
      <c r="O30" s="71"/>
      <c r="P30" s="71"/>
      <c r="Q30" s="71"/>
      <c r="R30" s="71"/>
      <c r="S30" s="71"/>
      <c r="T30" s="73"/>
    </row>
    <row r="31" spans="1:20" ht="15.75" hidden="1" thickBot="1">
      <c r="A31" s="931"/>
      <c r="N31" s="483">
        <f>SUM(N34:N38)</f>
        <v>123</v>
      </c>
      <c r="O31" s="24">
        <f>SUM(O34:O38)</f>
        <v>63</v>
      </c>
      <c r="P31" s="24">
        <f>SUM(P34:P38)</f>
        <v>98</v>
      </c>
      <c r="Q31" s="24">
        <f>SUM(Q34:Q38)</f>
        <v>138</v>
      </c>
      <c r="R31" s="24">
        <f>SUM(R34:R38)</f>
        <v>53</v>
      </c>
      <c r="S31" s="24"/>
      <c r="T31" s="23">
        <f>SUM(T34:T38)/5</f>
        <v>95</v>
      </c>
    </row>
    <row r="32" spans="1:20" hidden="1">
      <c r="A32" s="931"/>
    </row>
    <row r="33" spans="1:20" ht="16.5" hidden="1" thickBot="1">
      <c r="A33" s="931"/>
      <c r="N33" s="505">
        <v>4</v>
      </c>
    </row>
    <row r="34" spans="1:20" hidden="1">
      <c r="A34" s="931"/>
      <c r="N34" s="480">
        <v>26</v>
      </c>
      <c r="O34" s="38">
        <v>14</v>
      </c>
      <c r="P34" s="38">
        <v>21</v>
      </c>
      <c r="Q34" s="38">
        <v>29</v>
      </c>
      <c r="R34" s="481">
        <v>12</v>
      </c>
      <c r="S34" s="38"/>
      <c r="T34" s="481">
        <f>SUM(N34:R34)</f>
        <v>102</v>
      </c>
    </row>
    <row r="35" spans="1:20" hidden="1">
      <c r="A35" s="931"/>
      <c r="N35" s="482">
        <v>21</v>
      </c>
      <c r="O35" s="71">
        <v>9</v>
      </c>
      <c r="P35" s="71">
        <v>16</v>
      </c>
      <c r="Q35" s="71">
        <v>24</v>
      </c>
      <c r="R35" s="73">
        <v>7</v>
      </c>
      <c r="S35" s="71"/>
      <c r="T35" s="73">
        <f>SUM(N35:R35)</f>
        <v>77</v>
      </c>
    </row>
    <row r="36" spans="1:20" hidden="1">
      <c r="N36" s="482">
        <v>28</v>
      </c>
      <c r="O36" s="71">
        <v>16</v>
      </c>
      <c r="P36" s="71">
        <v>23</v>
      </c>
      <c r="Q36" s="71">
        <v>31</v>
      </c>
      <c r="R36" s="73">
        <v>14</v>
      </c>
      <c r="S36" s="71"/>
      <c r="T36" s="73">
        <f>SUM(N36:R36)</f>
        <v>112</v>
      </c>
    </row>
    <row r="37" spans="1:20" hidden="1">
      <c r="N37" s="482">
        <v>23</v>
      </c>
      <c r="O37" s="71">
        <v>11</v>
      </c>
      <c r="P37" s="71">
        <v>18</v>
      </c>
      <c r="Q37" s="71">
        <v>26</v>
      </c>
      <c r="R37" s="73">
        <v>9</v>
      </c>
      <c r="S37" s="71"/>
      <c r="T37" s="73">
        <f>SUM(N37:R37)</f>
        <v>87</v>
      </c>
    </row>
    <row r="38" spans="1:20" ht="15.75" hidden="1" thickBot="1">
      <c r="N38" s="483">
        <v>25</v>
      </c>
      <c r="O38" s="24">
        <v>13</v>
      </c>
      <c r="P38" s="24">
        <v>20</v>
      </c>
      <c r="Q38" s="24">
        <v>28</v>
      </c>
      <c r="R38" s="23">
        <v>11</v>
      </c>
      <c r="S38" s="71"/>
      <c r="T38" s="73">
        <f>SUM(N38:R38)</f>
        <v>97</v>
      </c>
    </row>
    <row r="39" spans="1:20" hidden="1">
      <c r="N39" s="482"/>
      <c r="O39" s="71"/>
      <c r="P39" s="71"/>
      <c r="Q39" s="71"/>
      <c r="R39" s="71"/>
      <c r="S39" s="71"/>
      <c r="T39" s="73"/>
    </row>
    <row r="40" spans="1:20" ht="15.75" hidden="1" thickBot="1">
      <c r="N40" s="483">
        <f>SUM(N34:N38)</f>
        <v>123</v>
      </c>
      <c r="O40" s="24">
        <f>SUM(O34:O38)</f>
        <v>63</v>
      </c>
      <c r="P40" s="24">
        <f>SUM(P34:P38)</f>
        <v>98</v>
      </c>
      <c r="Q40" s="24">
        <f>SUM(Q34:Q38)</f>
        <v>138</v>
      </c>
      <c r="R40" s="24">
        <f>SUM(R34:R38)</f>
        <v>53</v>
      </c>
      <c r="S40" s="24"/>
      <c r="T40" s="23">
        <f>SUM(T34:T38)/5</f>
        <v>95</v>
      </c>
    </row>
    <row r="41" spans="1:20" hidden="1"/>
    <row r="42" spans="1:20" ht="16.5" hidden="1" thickBot="1">
      <c r="N42" s="505">
        <v>5</v>
      </c>
    </row>
    <row r="43" spans="1:20" hidden="1">
      <c r="N43" s="480">
        <v>29</v>
      </c>
      <c r="O43" s="38">
        <v>12</v>
      </c>
      <c r="P43" s="38">
        <v>26</v>
      </c>
      <c r="Q43" s="38">
        <v>21</v>
      </c>
      <c r="R43" s="481">
        <v>14</v>
      </c>
      <c r="S43" s="38"/>
      <c r="T43" s="481">
        <f>SUM(N43:R43)</f>
        <v>102</v>
      </c>
    </row>
    <row r="44" spans="1:20" hidden="1">
      <c r="N44" s="482">
        <v>24</v>
      </c>
      <c r="O44" s="71">
        <v>7</v>
      </c>
      <c r="P44" s="71">
        <v>21</v>
      </c>
      <c r="Q44" s="71">
        <v>16</v>
      </c>
      <c r="R44" s="73">
        <v>9</v>
      </c>
      <c r="S44" s="71"/>
      <c r="T44" s="73">
        <f t="shared" ref="T44:T47" si="3">SUM(N44:R44)</f>
        <v>77</v>
      </c>
    </row>
    <row r="45" spans="1:20" hidden="1">
      <c r="N45" s="482">
        <v>31</v>
      </c>
      <c r="O45" s="71">
        <v>14</v>
      </c>
      <c r="P45" s="71">
        <v>28</v>
      </c>
      <c r="Q45" s="71">
        <v>23</v>
      </c>
      <c r="R45" s="73">
        <v>16</v>
      </c>
      <c r="S45" s="71"/>
      <c r="T45" s="73">
        <f t="shared" si="3"/>
        <v>112</v>
      </c>
    </row>
    <row r="46" spans="1:20" hidden="1">
      <c r="N46" s="482">
        <v>26</v>
      </c>
      <c r="O46" s="71">
        <v>9</v>
      </c>
      <c r="P46" s="71">
        <v>23</v>
      </c>
      <c r="Q46" s="71">
        <v>18</v>
      </c>
      <c r="R46" s="73">
        <v>11</v>
      </c>
      <c r="S46" s="71"/>
      <c r="T46" s="73">
        <f t="shared" si="3"/>
        <v>87</v>
      </c>
    </row>
    <row r="47" spans="1:20" ht="15.75" hidden="1" thickBot="1">
      <c r="N47" s="483">
        <v>28</v>
      </c>
      <c r="O47" s="24">
        <v>11</v>
      </c>
      <c r="P47" s="24">
        <v>25</v>
      </c>
      <c r="Q47" s="24">
        <v>20</v>
      </c>
      <c r="R47" s="23">
        <v>13</v>
      </c>
      <c r="S47" s="71"/>
      <c r="T47" s="73">
        <f t="shared" si="3"/>
        <v>97</v>
      </c>
    </row>
    <row r="48" spans="1:20" hidden="1">
      <c r="N48" s="482"/>
      <c r="O48" s="71"/>
      <c r="P48" s="71"/>
      <c r="Q48" s="71"/>
      <c r="R48" s="71"/>
      <c r="S48" s="71"/>
      <c r="T48" s="73"/>
    </row>
    <row r="49" spans="14:20" ht="15.75" hidden="1" thickBot="1">
      <c r="N49" s="483">
        <f>SUM(N43:N47)</f>
        <v>138</v>
      </c>
      <c r="O49" s="24">
        <f t="shared" ref="O49:R49" si="4">SUM(O43:O47)</f>
        <v>53</v>
      </c>
      <c r="P49" s="24">
        <f t="shared" si="4"/>
        <v>123</v>
      </c>
      <c r="Q49" s="24">
        <f t="shared" si="4"/>
        <v>98</v>
      </c>
      <c r="R49" s="24">
        <f t="shared" si="4"/>
        <v>63</v>
      </c>
      <c r="S49" s="24"/>
      <c r="T49" s="23">
        <f>SUM(T43:T47)/5</f>
        <v>95</v>
      </c>
    </row>
  </sheetData>
  <sheetProtection password="8B0A" sheet="1" objects="1" scenarios="1"/>
  <mergeCells count="12">
    <mergeCell ref="A1:K1"/>
    <mergeCell ref="A2:A35"/>
    <mergeCell ref="B2:K2"/>
    <mergeCell ref="B17:K19"/>
    <mergeCell ref="B3:K4"/>
    <mergeCell ref="B5:J5"/>
    <mergeCell ref="I8:K12"/>
    <mergeCell ref="B8:C12"/>
    <mergeCell ref="B13:K13"/>
    <mergeCell ref="B15:K15"/>
    <mergeCell ref="B16:C16"/>
    <mergeCell ref="I16:K16"/>
  </mergeCells>
  <conditionalFormatting sqref="D9 E10 F12 G11 H8">
    <cfRule type="expression" dxfId="32" priority="40">
      <formula>AND($L$1=5,$K$5="oui")</formula>
    </cfRule>
  </conditionalFormatting>
  <conditionalFormatting sqref="D8 E12 F11 G9 H10">
    <cfRule type="expression" dxfId="31" priority="35">
      <formula>AND($L$1=1,$K$5="oui")</formula>
    </cfRule>
  </conditionalFormatting>
  <conditionalFormatting sqref="D10 E11 F9 G8 H12">
    <cfRule type="expression" dxfId="30" priority="45">
      <formula>AND($L$1=2,$K$5="oui")</formula>
    </cfRule>
  </conditionalFormatting>
  <conditionalFormatting sqref="D12 E9 F8 G10 H11">
    <cfRule type="expression" dxfId="29" priority="55">
      <formula>AND($L$1=3,$K$5="oui")</formula>
    </cfRule>
  </conditionalFormatting>
  <conditionalFormatting sqref="D11 E8 F10 G12 H9">
    <cfRule type="expression" dxfId="28" priority="50">
      <formula>AND($L$1=4,$K$5="oui")</formula>
    </cfRule>
  </conditionalFormatting>
  <conditionalFormatting sqref="B16:K16">
    <cfRule type="expression" dxfId="27" priority="29">
      <formula>$D$8=""</formula>
    </cfRule>
  </conditionalFormatting>
  <conditionalFormatting sqref="E8:H8 D9:D12">
    <cfRule type="expression" dxfId="26" priority="28">
      <formula>$D$16=$D$8</formula>
    </cfRule>
  </conditionalFormatting>
  <conditionalFormatting sqref="D8 D10:D12 E9:H9">
    <cfRule type="expression" dxfId="25" priority="27">
      <formula>$D$16=$D$9</formula>
    </cfRule>
  </conditionalFormatting>
  <conditionalFormatting sqref="D8:D9 D11:D12 E10:H10">
    <cfRule type="expression" dxfId="24" priority="26">
      <formula>$D$16=$D$10</formula>
    </cfRule>
  </conditionalFormatting>
  <conditionalFormatting sqref="D8:D10 E11:H11 D12">
    <cfRule type="expression" dxfId="23" priority="25">
      <formula>$D$16=$D$11</formula>
    </cfRule>
  </conditionalFormatting>
  <conditionalFormatting sqref="D8:D11 E12:H12">
    <cfRule type="expression" dxfId="22" priority="23">
      <formula>$D$16=$D$12</formula>
    </cfRule>
  </conditionalFormatting>
  <conditionalFormatting sqref="D8 F8:H8 E9:E12">
    <cfRule type="expression" dxfId="21" priority="22">
      <formula>$E$16=$E$8</formula>
    </cfRule>
  </conditionalFormatting>
  <conditionalFormatting sqref="D9 E8 E10:E12 F9:H9">
    <cfRule type="expression" dxfId="20" priority="21">
      <formula>$E$16=$E$9</formula>
    </cfRule>
  </conditionalFormatting>
  <conditionalFormatting sqref="D10 E8:E9 E11:E12 F10:H10">
    <cfRule type="expression" dxfId="19" priority="20">
      <formula>$E$16=$E$10</formula>
    </cfRule>
  </conditionalFormatting>
  <conditionalFormatting sqref="D11 E8:E10 F11:H11 E12">
    <cfRule type="expression" dxfId="18" priority="19">
      <formula>$E$16=$E$11</formula>
    </cfRule>
  </conditionalFormatting>
  <conditionalFormatting sqref="D12 E8:E11 F12:H12">
    <cfRule type="expression" dxfId="17" priority="18">
      <formula>$E$16=$E$12</formula>
    </cfRule>
  </conditionalFormatting>
  <conditionalFormatting sqref="D8:E8 G8:H8 F9:F12">
    <cfRule type="expression" dxfId="16" priority="17">
      <formula>$F$16=$F$8</formula>
    </cfRule>
  </conditionalFormatting>
  <conditionalFormatting sqref="F10:F12 D9:E9 F8 G9:H9">
    <cfRule type="expression" dxfId="15" priority="16">
      <formula>$F$16=$F$9</formula>
    </cfRule>
  </conditionalFormatting>
  <conditionalFormatting sqref="D10:E10 F8:F9 F11:F12 G10:H10">
    <cfRule type="expression" dxfId="14" priority="15">
      <formula>$F$16=$F$10</formula>
    </cfRule>
  </conditionalFormatting>
  <conditionalFormatting sqref="D11:E11 G11:H11 F12 F8:F10">
    <cfRule type="expression" dxfId="13" priority="14">
      <formula>$F$16=$F$11</formula>
    </cfRule>
  </conditionalFormatting>
  <conditionalFormatting sqref="D12:E12 F8:F11 G12:H12">
    <cfRule type="expression" dxfId="12" priority="13">
      <formula>$F$16=$F$12</formula>
    </cfRule>
  </conditionalFormatting>
  <conditionalFormatting sqref="D8:F8 H8 G9:G12">
    <cfRule type="expression" dxfId="11" priority="12">
      <formula>$G$16=$G$8</formula>
    </cfRule>
  </conditionalFormatting>
  <conditionalFormatting sqref="D9:F9 H9 G8 G10:G12">
    <cfRule type="expression" dxfId="10" priority="11">
      <formula>$G$16=$G$9</formula>
    </cfRule>
  </conditionalFormatting>
  <conditionalFormatting sqref="D10:F10 G8:G9 G11:G12 H10">
    <cfRule type="expression" dxfId="9" priority="10">
      <formula>$G$16=$G$10</formula>
    </cfRule>
  </conditionalFormatting>
  <conditionalFormatting sqref="G8:G10 H11 G12 D11:F11">
    <cfRule type="expression" dxfId="8" priority="9">
      <formula>$G$16=$G$11</formula>
    </cfRule>
  </conditionalFormatting>
  <conditionalFormatting sqref="D12:F12 G8:G11 H12">
    <cfRule type="expression" dxfId="7" priority="8">
      <formula>$G$16=$G$12</formula>
    </cfRule>
  </conditionalFormatting>
  <conditionalFormatting sqref="D8:G8 H9:H12">
    <cfRule type="expression" dxfId="6" priority="7">
      <formula>$H$16=$H$8</formula>
    </cfRule>
  </conditionalFormatting>
  <conditionalFormatting sqref="H10:H12 D9:G9 H8">
    <cfRule type="expression" dxfId="5" priority="6">
      <formula>$H$16=$H$9</formula>
    </cfRule>
  </conditionalFormatting>
  <conditionalFormatting sqref="H8:H9 D10:G10 H11:H12">
    <cfRule type="expression" dxfId="4" priority="5">
      <formula>$H$16=$H$10</formula>
    </cfRule>
  </conditionalFormatting>
  <conditionalFormatting sqref="D11:G11 H8:H10 H12">
    <cfRule type="expression" dxfId="3" priority="4">
      <formula>$H$16=$H$11</formula>
    </cfRule>
  </conditionalFormatting>
  <conditionalFormatting sqref="D12:G12 H8:H11">
    <cfRule type="expression" dxfId="2" priority="3">
      <formula>$H$16=$H$12</formula>
    </cfRule>
  </conditionalFormatting>
  <conditionalFormatting sqref="B17:K19">
    <cfRule type="expression" dxfId="1" priority="2">
      <formula>$B$17="Une erreur de saisie a été détectée..!"</formula>
    </cfRule>
  </conditionalFormatting>
  <conditionalFormatting sqref="D16:H16">
    <cfRule type="expression" dxfId="0" priority="1">
      <formula>D$20=1</formula>
    </cfRule>
  </conditionalFormatting>
  <dataValidations count="1">
    <dataValidation type="list" allowBlank="1" showInputMessage="1" showErrorMessage="1" sqref="K5">
      <formula1>"Oui,Non"</formula1>
    </dataValidation>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409</vt:i4>
      </vt:variant>
    </vt:vector>
  </HeadingPairs>
  <TitlesOfParts>
    <vt:vector size="418" baseType="lpstr">
      <vt:lpstr>ACCUEILACTIVATIONMACROS</vt:lpstr>
      <vt:lpstr>MACROS</vt:lpstr>
      <vt:lpstr>SOMMAIRE</vt:lpstr>
      <vt:lpstr>SOMMAIRE (2)</vt:lpstr>
      <vt:lpstr>X²</vt:lpstr>
      <vt:lpstr>x³</vt:lpstr>
      <vt:lpstr>SOMMAIRE ADDITIONS</vt:lpstr>
      <vt:lpstr>1089</vt:lpstr>
      <vt:lpstr>95</vt:lpstr>
      <vt:lpstr>a</vt:lpstr>
      <vt:lpstr>Amon_Râ</vt:lpstr>
      <vt:lpstr>ANNIVERSAIRE</vt:lpstr>
      <vt:lpstr>Anubis</vt:lpstr>
      <vt:lpstr>Balance</vt:lpstr>
      <vt:lpstr>Bastet</vt:lpstr>
      <vt:lpstr>Bélier</vt:lpstr>
      <vt:lpstr>Bœuf</vt:lpstr>
      <vt:lpstr>Bœuf_El._Bois</vt:lpstr>
      <vt:lpstr>Bœuf_El._Eau</vt:lpstr>
      <vt:lpstr>Bœuf_El._Feu</vt:lpstr>
      <vt:lpstr>Bœuf_El._Métal</vt:lpstr>
      <vt:lpstr>Bœuf_El._Terre</vt:lpstr>
      <vt:lpstr>Cancer</vt:lpstr>
      <vt:lpstr>Capricorne</vt:lpstr>
      <vt:lpstr>Cheval</vt:lpstr>
      <vt:lpstr>Cheval_El._Bois</vt:lpstr>
      <vt:lpstr>Cheval_El._Eau</vt:lpstr>
      <vt:lpstr>Cheval_El._Feu</vt:lpstr>
      <vt:lpstr>Cheval_El._Métal</vt:lpstr>
      <vt:lpstr>Cheval_El._Terre</vt:lpstr>
      <vt:lpstr>Chèvre</vt:lpstr>
      <vt:lpstr>Chèvre_El._Bois</vt:lpstr>
      <vt:lpstr>Chèvre_El._Eau</vt:lpstr>
      <vt:lpstr>Chèvre_El._Feu</vt:lpstr>
      <vt:lpstr>Chèvre_El._Métal</vt:lpstr>
      <vt:lpstr>Chèvre_El._Terre</vt:lpstr>
      <vt:lpstr>Chien</vt:lpstr>
      <vt:lpstr>Chien_El._Bois</vt:lpstr>
      <vt:lpstr>Chien_El._Eau</vt:lpstr>
      <vt:lpstr>Chien_El._Feu</vt:lpstr>
      <vt:lpstr>Chien_El._Métal</vt:lpstr>
      <vt:lpstr>Chien_El._Terre</vt:lpstr>
      <vt:lpstr>CNIL</vt:lpstr>
      <vt:lpstr>Cochon</vt:lpstr>
      <vt:lpstr>Cochon_El._Bois</vt:lpstr>
      <vt:lpstr>Cochon_El._Eau</vt:lpstr>
      <vt:lpstr>Cochon_El._Feu</vt:lpstr>
      <vt:lpstr>Cochon_El._Métal</vt:lpstr>
      <vt:lpstr>Cochon_El._Terre</vt:lpstr>
      <vt:lpstr>Coq</vt:lpstr>
      <vt:lpstr>Coq_El._Bois</vt:lpstr>
      <vt:lpstr>Coq_El._Eau</vt:lpstr>
      <vt:lpstr>Coq_El._Feu</vt:lpstr>
      <vt:lpstr>Coq_El._Métal</vt:lpstr>
      <vt:lpstr>Coq_El._Terre</vt:lpstr>
      <vt:lpstr>D13c</vt:lpstr>
      <vt:lpstr>Dragon</vt:lpstr>
      <vt:lpstr>Dragon_El._Bois</vt:lpstr>
      <vt:lpstr>Dragon_El._Eau</vt:lpstr>
      <vt:lpstr>Dragon_El._Feu</vt:lpstr>
      <vt:lpstr>Dragon_El._Métal</vt:lpstr>
      <vt:lpstr>Dragon_El._Terre</vt:lpstr>
      <vt:lpstr>Geb</vt:lpstr>
      <vt:lpstr>Gémeaux</vt:lpstr>
      <vt:lpstr>Horus</vt:lpstr>
      <vt:lpstr>Isis</vt:lpstr>
      <vt:lpstr>Le_Nil</vt:lpstr>
      <vt:lpstr>Lièvre</vt:lpstr>
      <vt:lpstr>Lièvre_El._Bois</vt:lpstr>
      <vt:lpstr>Lièvre_El._Eau</vt:lpstr>
      <vt:lpstr>Lièvre_El._Feu</vt:lpstr>
      <vt:lpstr>Lièvre_El._Métal</vt:lpstr>
      <vt:lpstr>Lièvre_El._Terre</vt:lpstr>
      <vt:lpstr>Lion</vt:lpstr>
      <vt:lpstr>VERIFMAJ!magie_interactive_et_jeux_divers_no174</vt:lpstr>
      <vt:lpstr>VERIFMAJ!magie_interactive_et_jeux_divers_no174_1</vt:lpstr>
      <vt:lpstr>VERIFMAJ!magie_interactive_et_jeux_divers_no174_10</vt:lpstr>
      <vt:lpstr>VERIFMAJ!magie_interactive_et_jeux_divers_no174_100</vt:lpstr>
      <vt:lpstr>VERIFMAJ!magie_interactive_et_jeux_divers_no174_101</vt:lpstr>
      <vt:lpstr>VERIFMAJ!magie_interactive_et_jeux_divers_no174_102</vt:lpstr>
      <vt:lpstr>VERIFMAJ!magie_interactive_et_jeux_divers_no174_103</vt:lpstr>
      <vt:lpstr>VERIFMAJ!magie_interactive_et_jeux_divers_no174_104</vt:lpstr>
      <vt:lpstr>VERIFMAJ!magie_interactive_et_jeux_divers_no174_105</vt:lpstr>
      <vt:lpstr>VERIFMAJ!magie_interactive_et_jeux_divers_no174_106</vt:lpstr>
      <vt:lpstr>VERIFMAJ!magie_interactive_et_jeux_divers_no174_107</vt:lpstr>
      <vt:lpstr>VERIFMAJ!magie_interactive_et_jeux_divers_no174_108</vt:lpstr>
      <vt:lpstr>VERIFMAJ!magie_interactive_et_jeux_divers_no174_109</vt:lpstr>
      <vt:lpstr>VERIFMAJ!magie_interactive_et_jeux_divers_no174_11</vt:lpstr>
      <vt:lpstr>VERIFMAJ!magie_interactive_et_jeux_divers_no174_110</vt:lpstr>
      <vt:lpstr>VERIFMAJ!magie_interactive_et_jeux_divers_no174_111</vt:lpstr>
      <vt:lpstr>VERIFMAJ!magie_interactive_et_jeux_divers_no174_112</vt:lpstr>
      <vt:lpstr>VERIFMAJ!magie_interactive_et_jeux_divers_no174_113</vt:lpstr>
      <vt:lpstr>VERIFMAJ!magie_interactive_et_jeux_divers_no174_114</vt:lpstr>
      <vt:lpstr>VERIFMAJ!magie_interactive_et_jeux_divers_no174_115</vt:lpstr>
      <vt:lpstr>VERIFMAJ!magie_interactive_et_jeux_divers_no174_116</vt:lpstr>
      <vt:lpstr>VERIFMAJ!magie_interactive_et_jeux_divers_no174_117</vt:lpstr>
      <vt:lpstr>VERIFMAJ!magie_interactive_et_jeux_divers_no174_118</vt:lpstr>
      <vt:lpstr>VERIFMAJ!magie_interactive_et_jeux_divers_no174_119</vt:lpstr>
      <vt:lpstr>VERIFMAJ!magie_interactive_et_jeux_divers_no174_12</vt:lpstr>
      <vt:lpstr>VERIFMAJ!magie_interactive_et_jeux_divers_no174_120</vt:lpstr>
      <vt:lpstr>VERIFMAJ!magie_interactive_et_jeux_divers_no174_121</vt:lpstr>
      <vt:lpstr>VERIFMAJ!magie_interactive_et_jeux_divers_no174_122</vt:lpstr>
      <vt:lpstr>VERIFMAJ!magie_interactive_et_jeux_divers_no174_123</vt:lpstr>
      <vt:lpstr>VERIFMAJ!magie_interactive_et_jeux_divers_no174_124</vt:lpstr>
      <vt:lpstr>VERIFMAJ!magie_interactive_et_jeux_divers_no174_125</vt:lpstr>
      <vt:lpstr>VERIFMAJ!magie_interactive_et_jeux_divers_no174_126</vt:lpstr>
      <vt:lpstr>VERIFMAJ!magie_interactive_et_jeux_divers_no174_127</vt:lpstr>
      <vt:lpstr>VERIFMAJ!magie_interactive_et_jeux_divers_no174_128</vt:lpstr>
      <vt:lpstr>VERIFMAJ!magie_interactive_et_jeux_divers_no174_129</vt:lpstr>
      <vt:lpstr>VERIFMAJ!magie_interactive_et_jeux_divers_no174_13</vt:lpstr>
      <vt:lpstr>VERIFMAJ!magie_interactive_et_jeux_divers_no174_130</vt:lpstr>
      <vt:lpstr>VERIFMAJ!magie_interactive_et_jeux_divers_no174_131</vt:lpstr>
      <vt:lpstr>VERIFMAJ!magie_interactive_et_jeux_divers_no174_132</vt:lpstr>
      <vt:lpstr>VERIFMAJ!magie_interactive_et_jeux_divers_no174_133</vt:lpstr>
      <vt:lpstr>VERIFMAJ!magie_interactive_et_jeux_divers_no174_134</vt:lpstr>
      <vt:lpstr>VERIFMAJ!magie_interactive_et_jeux_divers_no174_135</vt:lpstr>
      <vt:lpstr>VERIFMAJ!magie_interactive_et_jeux_divers_no174_136</vt:lpstr>
      <vt:lpstr>VERIFMAJ!magie_interactive_et_jeux_divers_no174_137</vt:lpstr>
      <vt:lpstr>VERIFMAJ!magie_interactive_et_jeux_divers_no174_138</vt:lpstr>
      <vt:lpstr>VERIFMAJ!magie_interactive_et_jeux_divers_no174_139</vt:lpstr>
      <vt:lpstr>VERIFMAJ!magie_interactive_et_jeux_divers_no174_14</vt:lpstr>
      <vt:lpstr>VERIFMAJ!magie_interactive_et_jeux_divers_no174_140</vt:lpstr>
      <vt:lpstr>VERIFMAJ!magie_interactive_et_jeux_divers_no174_141</vt:lpstr>
      <vt:lpstr>VERIFMAJ!magie_interactive_et_jeux_divers_no174_142</vt:lpstr>
      <vt:lpstr>VERIFMAJ!magie_interactive_et_jeux_divers_no174_143</vt:lpstr>
      <vt:lpstr>VERIFMAJ!magie_interactive_et_jeux_divers_no174_144</vt:lpstr>
      <vt:lpstr>VERIFMAJ!magie_interactive_et_jeux_divers_no174_145</vt:lpstr>
      <vt:lpstr>VERIFMAJ!magie_interactive_et_jeux_divers_no174_146</vt:lpstr>
      <vt:lpstr>VERIFMAJ!magie_interactive_et_jeux_divers_no174_147</vt:lpstr>
      <vt:lpstr>VERIFMAJ!magie_interactive_et_jeux_divers_no174_148</vt:lpstr>
      <vt:lpstr>VERIFMAJ!magie_interactive_et_jeux_divers_no174_149</vt:lpstr>
      <vt:lpstr>VERIFMAJ!magie_interactive_et_jeux_divers_no174_15</vt:lpstr>
      <vt:lpstr>VERIFMAJ!magie_interactive_et_jeux_divers_no174_150</vt:lpstr>
      <vt:lpstr>VERIFMAJ!magie_interactive_et_jeux_divers_no174_151</vt:lpstr>
      <vt:lpstr>VERIFMAJ!magie_interactive_et_jeux_divers_no174_152</vt:lpstr>
      <vt:lpstr>VERIFMAJ!magie_interactive_et_jeux_divers_no174_153</vt:lpstr>
      <vt:lpstr>VERIFMAJ!magie_interactive_et_jeux_divers_no174_154</vt:lpstr>
      <vt:lpstr>VERIFMAJ!magie_interactive_et_jeux_divers_no174_155</vt:lpstr>
      <vt:lpstr>VERIFMAJ!magie_interactive_et_jeux_divers_no174_156</vt:lpstr>
      <vt:lpstr>VERIFMAJ!magie_interactive_et_jeux_divers_no174_157</vt:lpstr>
      <vt:lpstr>VERIFMAJ!magie_interactive_et_jeux_divers_no174_158</vt:lpstr>
      <vt:lpstr>VERIFMAJ!magie_interactive_et_jeux_divers_no174_159</vt:lpstr>
      <vt:lpstr>VERIFMAJ!magie_interactive_et_jeux_divers_no174_16</vt:lpstr>
      <vt:lpstr>VERIFMAJ!magie_interactive_et_jeux_divers_no174_160</vt:lpstr>
      <vt:lpstr>VERIFMAJ!magie_interactive_et_jeux_divers_no174_161</vt:lpstr>
      <vt:lpstr>VERIFMAJ!magie_interactive_et_jeux_divers_no174_162</vt:lpstr>
      <vt:lpstr>VERIFMAJ!magie_interactive_et_jeux_divers_no174_163</vt:lpstr>
      <vt:lpstr>VERIFMAJ!magie_interactive_et_jeux_divers_no174_164</vt:lpstr>
      <vt:lpstr>VERIFMAJ!magie_interactive_et_jeux_divers_no174_165</vt:lpstr>
      <vt:lpstr>VERIFMAJ!magie_interactive_et_jeux_divers_no174_166</vt:lpstr>
      <vt:lpstr>VERIFMAJ!magie_interactive_et_jeux_divers_no174_167</vt:lpstr>
      <vt:lpstr>VERIFMAJ!magie_interactive_et_jeux_divers_no174_168</vt:lpstr>
      <vt:lpstr>VERIFMAJ!magie_interactive_et_jeux_divers_no174_169</vt:lpstr>
      <vt:lpstr>VERIFMAJ!magie_interactive_et_jeux_divers_no174_17</vt:lpstr>
      <vt:lpstr>VERIFMAJ!magie_interactive_et_jeux_divers_no174_170</vt:lpstr>
      <vt:lpstr>VERIFMAJ!magie_interactive_et_jeux_divers_no174_171</vt:lpstr>
      <vt:lpstr>VERIFMAJ!magie_interactive_et_jeux_divers_no174_172</vt:lpstr>
      <vt:lpstr>VERIFMAJ!magie_interactive_et_jeux_divers_no174_173</vt:lpstr>
      <vt:lpstr>VERIFMAJ!magie_interactive_et_jeux_divers_no174_174</vt:lpstr>
      <vt:lpstr>VERIFMAJ!magie_interactive_et_jeux_divers_no174_175</vt:lpstr>
      <vt:lpstr>VERIFMAJ!magie_interactive_et_jeux_divers_no174_176</vt:lpstr>
      <vt:lpstr>VERIFMAJ!magie_interactive_et_jeux_divers_no174_177</vt:lpstr>
      <vt:lpstr>VERIFMAJ!magie_interactive_et_jeux_divers_no174_178</vt:lpstr>
      <vt:lpstr>VERIFMAJ!magie_interactive_et_jeux_divers_no174_179</vt:lpstr>
      <vt:lpstr>VERIFMAJ!magie_interactive_et_jeux_divers_no174_18</vt:lpstr>
      <vt:lpstr>VERIFMAJ!magie_interactive_et_jeux_divers_no174_180</vt:lpstr>
      <vt:lpstr>VERIFMAJ!magie_interactive_et_jeux_divers_no174_181</vt:lpstr>
      <vt:lpstr>VERIFMAJ!magie_interactive_et_jeux_divers_no174_182</vt:lpstr>
      <vt:lpstr>VERIFMAJ!magie_interactive_et_jeux_divers_no174_183</vt:lpstr>
      <vt:lpstr>VERIFMAJ!magie_interactive_et_jeux_divers_no174_184</vt:lpstr>
      <vt:lpstr>VERIFMAJ!magie_interactive_et_jeux_divers_no174_185</vt:lpstr>
      <vt:lpstr>VERIFMAJ!magie_interactive_et_jeux_divers_no174_186</vt:lpstr>
      <vt:lpstr>VERIFMAJ!magie_interactive_et_jeux_divers_no174_187</vt:lpstr>
      <vt:lpstr>VERIFMAJ!magie_interactive_et_jeux_divers_no174_188</vt:lpstr>
      <vt:lpstr>VERIFMAJ!magie_interactive_et_jeux_divers_no174_189</vt:lpstr>
      <vt:lpstr>VERIFMAJ!magie_interactive_et_jeux_divers_no174_19</vt:lpstr>
      <vt:lpstr>VERIFMAJ!magie_interactive_et_jeux_divers_no174_190</vt:lpstr>
      <vt:lpstr>VERIFMAJ!magie_interactive_et_jeux_divers_no174_191</vt:lpstr>
      <vt:lpstr>VERIFMAJ!magie_interactive_et_jeux_divers_no174_192</vt:lpstr>
      <vt:lpstr>VERIFMAJ!magie_interactive_et_jeux_divers_no174_193</vt:lpstr>
      <vt:lpstr>VERIFMAJ!magie_interactive_et_jeux_divers_no174_194</vt:lpstr>
      <vt:lpstr>VERIFMAJ!magie_interactive_et_jeux_divers_no174_195</vt:lpstr>
      <vt:lpstr>VERIFMAJ!magie_interactive_et_jeux_divers_no174_196</vt:lpstr>
      <vt:lpstr>VERIFMAJ!magie_interactive_et_jeux_divers_no174_197</vt:lpstr>
      <vt:lpstr>VERIFMAJ!magie_interactive_et_jeux_divers_no174_198</vt:lpstr>
      <vt:lpstr>VERIFMAJ!magie_interactive_et_jeux_divers_no174_199</vt:lpstr>
      <vt:lpstr>VERIFMAJ!magie_interactive_et_jeux_divers_no174_2</vt:lpstr>
      <vt:lpstr>VERIFMAJ!magie_interactive_et_jeux_divers_no174_20</vt:lpstr>
      <vt:lpstr>VERIFMAJ!magie_interactive_et_jeux_divers_no174_200</vt:lpstr>
      <vt:lpstr>VERIFMAJ!magie_interactive_et_jeux_divers_no174_201</vt:lpstr>
      <vt:lpstr>VERIFMAJ!magie_interactive_et_jeux_divers_no174_202</vt:lpstr>
      <vt:lpstr>VERIFMAJ!magie_interactive_et_jeux_divers_no174_203</vt:lpstr>
      <vt:lpstr>VERIFMAJ!magie_interactive_et_jeux_divers_no174_204</vt:lpstr>
      <vt:lpstr>VERIFMAJ!magie_interactive_et_jeux_divers_no174_205</vt:lpstr>
      <vt:lpstr>VERIFMAJ!magie_interactive_et_jeux_divers_no174_206</vt:lpstr>
      <vt:lpstr>VERIFMAJ!magie_interactive_et_jeux_divers_no174_207</vt:lpstr>
      <vt:lpstr>VERIFMAJ!magie_interactive_et_jeux_divers_no174_208</vt:lpstr>
      <vt:lpstr>VERIFMAJ!magie_interactive_et_jeux_divers_no174_209</vt:lpstr>
      <vt:lpstr>VERIFMAJ!magie_interactive_et_jeux_divers_no174_21</vt:lpstr>
      <vt:lpstr>VERIFMAJ!magie_interactive_et_jeux_divers_no174_210</vt:lpstr>
      <vt:lpstr>VERIFMAJ!magie_interactive_et_jeux_divers_no174_211</vt:lpstr>
      <vt:lpstr>VERIFMAJ!magie_interactive_et_jeux_divers_no174_212</vt:lpstr>
      <vt:lpstr>VERIFMAJ!magie_interactive_et_jeux_divers_no174_213</vt:lpstr>
      <vt:lpstr>VERIFMAJ!magie_interactive_et_jeux_divers_no174_214</vt:lpstr>
      <vt:lpstr>VERIFMAJ!magie_interactive_et_jeux_divers_no174_215</vt:lpstr>
      <vt:lpstr>VERIFMAJ!magie_interactive_et_jeux_divers_no174_216</vt:lpstr>
      <vt:lpstr>VERIFMAJ!magie_interactive_et_jeux_divers_no174_217</vt:lpstr>
      <vt:lpstr>VERIFMAJ!magie_interactive_et_jeux_divers_no174_218</vt:lpstr>
      <vt:lpstr>VERIFMAJ!magie_interactive_et_jeux_divers_no174_219</vt:lpstr>
      <vt:lpstr>VERIFMAJ!magie_interactive_et_jeux_divers_no174_22</vt:lpstr>
      <vt:lpstr>VERIFMAJ!magie_interactive_et_jeux_divers_no174_220</vt:lpstr>
      <vt:lpstr>VERIFMAJ!magie_interactive_et_jeux_divers_no174_221</vt:lpstr>
      <vt:lpstr>VERIFMAJ!magie_interactive_et_jeux_divers_no174_222</vt:lpstr>
      <vt:lpstr>VERIFMAJ!magie_interactive_et_jeux_divers_no174_223</vt:lpstr>
      <vt:lpstr>VERIFMAJ!magie_interactive_et_jeux_divers_no174_224</vt:lpstr>
      <vt:lpstr>VERIFMAJ!magie_interactive_et_jeux_divers_no174_225</vt:lpstr>
      <vt:lpstr>VERIFMAJ!magie_interactive_et_jeux_divers_no174_226</vt:lpstr>
      <vt:lpstr>VERIFMAJ!magie_interactive_et_jeux_divers_no174_227</vt:lpstr>
      <vt:lpstr>VERIFMAJ!magie_interactive_et_jeux_divers_no174_228</vt:lpstr>
      <vt:lpstr>VERIFMAJ!magie_interactive_et_jeux_divers_no174_229</vt:lpstr>
      <vt:lpstr>VERIFMAJ!magie_interactive_et_jeux_divers_no174_23</vt:lpstr>
      <vt:lpstr>VERIFMAJ!magie_interactive_et_jeux_divers_no174_230</vt:lpstr>
      <vt:lpstr>VERIFMAJ!magie_interactive_et_jeux_divers_no174_231</vt:lpstr>
      <vt:lpstr>VERIFMAJ!magie_interactive_et_jeux_divers_no174_232</vt:lpstr>
      <vt:lpstr>VERIFMAJ!magie_interactive_et_jeux_divers_no174_233</vt:lpstr>
      <vt:lpstr>VERIFMAJ!magie_interactive_et_jeux_divers_no174_234</vt:lpstr>
      <vt:lpstr>VERIFMAJ!magie_interactive_et_jeux_divers_no174_235</vt:lpstr>
      <vt:lpstr>VERIFMAJ!magie_interactive_et_jeux_divers_no174_236</vt:lpstr>
      <vt:lpstr>VERIFMAJ!magie_interactive_et_jeux_divers_no174_237</vt:lpstr>
      <vt:lpstr>VERIFMAJ!magie_interactive_et_jeux_divers_no174_24</vt:lpstr>
      <vt:lpstr>VERIFMAJ!magie_interactive_et_jeux_divers_no174_240</vt:lpstr>
      <vt:lpstr>VERIFMAJ!magie_interactive_et_jeux_divers_no174_242</vt:lpstr>
      <vt:lpstr>VERIFMAJ!magie_interactive_et_jeux_divers_no174_243</vt:lpstr>
      <vt:lpstr>VERIFMAJ!magie_interactive_et_jeux_divers_no174_244</vt:lpstr>
      <vt:lpstr>VERIFMAJ!magie_interactive_et_jeux_divers_no174_245</vt:lpstr>
      <vt:lpstr>VERIFMAJ!magie_interactive_et_jeux_divers_no174_246</vt:lpstr>
      <vt:lpstr>VERIFMAJ!magie_interactive_et_jeux_divers_no174_247</vt:lpstr>
      <vt:lpstr>VERIFMAJ!magie_interactive_et_jeux_divers_no174_248</vt:lpstr>
      <vt:lpstr>VERIFMAJ!magie_interactive_et_jeux_divers_no174_249</vt:lpstr>
      <vt:lpstr>VERIFMAJ!magie_interactive_et_jeux_divers_no174_25</vt:lpstr>
      <vt:lpstr>VERIFMAJ!magie_interactive_et_jeux_divers_no174_250</vt:lpstr>
      <vt:lpstr>VERIFMAJ!magie_interactive_et_jeux_divers_no174_251</vt:lpstr>
      <vt:lpstr>VERIFMAJ!magie_interactive_et_jeux_divers_no174_252</vt:lpstr>
      <vt:lpstr>VERIFMAJ!magie_interactive_et_jeux_divers_no174_253</vt:lpstr>
      <vt:lpstr>VERIFMAJ!magie_interactive_et_jeux_divers_no174_254</vt:lpstr>
      <vt:lpstr>VERIFMAJ!magie_interactive_et_jeux_divers_no174_255</vt:lpstr>
      <vt:lpstr>VERIFMAJ!magie_interactive_et_jeux_divers_no174_256</vt:lpstr>
      <vt:lpstr>VERIFMAJ!magie_interactive_et_jeux_divers_no174_257</vt:lpstr>
      <vt:lpstr>VERIFMAJ!magie_interactive_et_jeux_divers_no174_258</vt:lpstr>
      <vt:lpstr>VERIFMAJ!magie_interactive_et_jeux_divers_no174_259</vt:lpstr>
      <vt:lpstr>VERIFMAJ!magie_interactive_et_jeux_divers_no174_26</vt:lpstr>
      <vt:lpstr>VERIFMAJ!magie_interactive_et_jeux_divers_no174_260</vt:lpstr>
      <vt:lpstr>VERIFMAJ!magie_interactive_et_jeux_divers_no174_261</vt:lpstr>
      <vt:lpstr>VERIFMAJ!magie_interactive_et_jeux_divers_no174_262</vt:lpstr>
      <vt:lpstr>VERIFMAJ!magie_interactive_et_jeux_divers_no174_263</vt:lpstr>
      <vt:lpstr>VERIFMAJ!magie_interactive_et_jeux_divers_no174_264</vt:lpstr>
      <vt:lpstr>VERIFMAJ!magie_interactive_et_jeux_divers_no174_265</vt:lpstr>
      <vt:lpstr>VERIFMAJ!magie_interactive_et_jeux_divers_no174_266</vt:lpstr>
      <vt:lpstr>VERIFMAJ!magie_interactive_et_jeux_divers_no174_267</vt:lpstr>
      <vt:lpstr>VERIFMAJ!magie_interactive_et_jeux_divers_no174_268</vt:lpstr>
      <vt:lpstr>VERIFMAJ!magie_interactive_et_jeux_divers_no174_269</vt:lpstr>
      <vt:lpstr>VERIFMAJ!magie_interactive_et_jeux_divers_no174_27</vt:lpstr>
      <vt:lpstr>VERIFMAJ!magie_interactive_et_jeux_divers_no174_270</vt:lpstr>
      <vt:lpstr>VERIFMAJ!magie_interactive_et_jeux_divers_no174_271</vt:lpstr>
      <vt:lpstr>VERIFMAJ!magie_interactive_et_jeux_divers_no174_272</vt:lpstr>
      <vt:lpstr>VERIFMAJ!magie_interactive_et_jeux_divers_no174_273</vt:lpstr>
      <vt:lpstr>VERIFMAJ!magie_interactive_et_jeux_divers_no174_274</vt:lpstr>
      <vt:lpstr>VERIFMAJ!magie_interactive_et_jeux_divers_no174_275</vt:lpstr>
      <vt:lpstr>VERIFMAJ!magie_interactive_et_jeux_divers_no174_276</vt:lpstr>
      <vt:lpstr>VERIFMAJ!magie_interactive_et_jeux_divers_no174_277</vt:lpstr>
      <vt:lpstr>VERIFMAJ!magie_interactive_et_jeux_divers_no174_278</vt:lpstr>
      <vt:lpstr>VERIFMAJ!magie_interactive_et_jeux_divers_no174_279</vt:lpstr>
      <vt:lpstr>VERIFMAJ!magie_interactive_et_jeux_divers_no174_28</vt:lpstr>
      <vt:lpstr>VERIFMAJ!magie_interactive_et_jeux_divers_no174_280</vt:lpstr>
      <vt:lpstr>VERIFMAJ!magie_interactive_et_jeux_divers_no174_281</vt:lpstr>
      <vt:lpstr>VERIFMAJ!magie_interactive_et_jeux_divers_no174_282</vt:lpstr>
      <vt:lpstr>VERIFMAJ!magie_interactive_et_jeux_divers_no174_283</vt:lpstr>
      <vt:lpstr>VERIFMAJ!magie_interactive_et_jeux_divers_no174_284</vt:lpstr>
      <vt:lpstr>VERIFMAJ!magie_interactive_et_jeux_divers_no174_285</vt:lpstr>
      <vt:lpstr>VERIFMAJ!magie_interactive_et_jeux_divers_no174_286</vt:lpstr>
      <vt:lpstr>VERIFMAJ!magie_interactive_et_jeux_divers_no174_287</vt:lpstr>
      <vt:lpstr>VERIFMAJ!magie_interactive_et_jeux_divers_no174_288</vt:lpstr>
      <vt:lpstr>VERIFMAJ!magie_interactive_et_jeux_divers_no174_289</vt:lpstr>
      <vt:lpstr>VERIFMAJ!magie_interactive_et_jeux_divers_no174_29</vt:lpstr>
      <vt:lpstr>VERIFMAJ!magie_interactive_et_jeux_divers_no174_290</vt:lpstr>
      <vt:lpstr>VERIFMAJ!magie_interactive_et_jeux_divers_no174_291</vt:lpstr>
      <vt:lpstr>VERIFMAJ!magie_interactive_et_jeux_divers_no174_292</vt:lpstr>
      <vt:lpstr>VERIFMAJ!magie_interactive_et_jeux_divers_no174_293</vt:lpstr>
      <vt:lpstr>VERIFMAJ!magie_interactive_et_jeux_divers_no174_294</vt:lpstr>
      <vt:lpstr>VERIFMAJ!magie_interactive_et_jeux_divers_no174_295</vt:lpstr>
      <vt:lpstr>VERIFMAJ!magie_interactive_et_jeux_divers_no174_296</vt:lpstr>
      <vt:lpstr>VERIFMAJ!magie_interactive_et_jeux_divers_no174_297</vt:lpstr>
      <vt:lpstr>VERIFMAJ!magie_interactive_et_jeux_divers_no174_298</vt:lpstr>
      <vt:lpstr>VERIFMAJ!magie_interactive_et_jeux_divers_no174_299</vt:lpstr>
      <vt:lpstr>VERIFMAJ!magie_interactive_et_jeux_divers_no174_3</vt:lpstr>
      <vt:lpstr>VERIFMAJ!magie_interactive_et_jeux_divers_no174_30</vt:lpstr>
      <vt:lpstr>VERIFMAJ!magie_interactive_et_jeux_divers_no174_300</vt:lpstr>
      <vt:lpstr>VERIFMAJ!magie_interactive_et_jeux_divers_no174_301</vt:lpstr>
      <vt:lpstr>VERIFMAJ!magie_interactive_et_jeux_divers_no174_302</vt:lpstr>
      <vt:lpstr>VERIFMAJ!magie_interactive_et_jeux_divers_no174_303</vt:lpstr>
      <vt:lpstr>VERIFMAJ!magie_interactive_et_jeux_divers_no174_304</vt:lpstr>
      <vt:lpstr>VERIFMAJ!magie_interactive_et_jeux_divers_no174_305</vt:lpstr>
      <vt:lpstr>VERIFMAJ!magie_interactive_et_jeux_divers_no174_306</vt:lpstr>
      <vt:lpstr>VERIFMAJ!magie_interactive_et_jeux_divers_no174_307</vt:lpstr>
      <vt:lpstr>VERIFMAJ!magie_interactive_et_jeux_divers_no174_31</vt:lpstr>
      <vt:lpstr>VERIFMAJ!magie_interactive_et_jeux_divers_no174_32</vt:lpstr>
      <vt:lpstr>VERIFMAJ!magie_interactive_et_jeux_divers_no174_33</vt:lpstr>
      <vt:lpstr>VERIFMAJ!magie_interactive_et_jeux_divers_no174_34</vt:lpstr>
      <vt:lpstr>VERIFMAJ!magie_interactive_et_jeux_divers_no174_35</vt:lpstr>
      <vt:lpstr>VERIFMAJ!magie_interactive_et_jeux_divers_no174_36</vt:lpstr>
      <vt:lpstr>VERIFMAJ!magie_interactive_et_jeux_divers_no174_37</vt:lpstr>
      <vt:lpstr>VERIFMAJ!magie_interactive_et_jeux_divers_no174_38</vt:lpstr>
      <vt:lpstr>VERIFMAJ!magie_interactive_et_jeux_divers_no174_39</vt:lpstr>
      <vt:lpstr>VERIFMAJ!magie_interactive_et_jeux_divers_no174_4</vt:lpstr>
      <vt:lpstr>VERIFMAJ!magie_interactive_et_jeux_divers_no174_40</vt:lpstr>
      <vt:lpstr>VERIFMAJ!magie_interactive_et_jeux_divers_no174_41</vt:lpstr>
      <vt:lpstr>VERIFMAJ!magie_interactive_et_jeux_divers_no174_42</vt:lpstr>
      <vt:lpstr>VERIFMAJ!magie_interactive_et_jeux_divers_no174_43</vt:lpstr>
      <vt:lpstr>VERIFMAJ!magie_interactive_et_jeux_divers_no174_44</vt:lpstr>
      <vt:lpstr>VERIFMAJ!magie_interactive_et_jeux_divers_no174_45</vt:lpstr>
      <vt:lpstr>VERIFMAJ!magie_interactive_et_jeux_divers_no174_46</vt:lpstr>
      <vt:lpstr>VERIFMAJ!magie_interactive_et_jeux_divers_no174_47</vt:lpstr>
      <vt:lpstr>VERIFMAJ!magie_interactive_et_jeux_divers_no174_48</vt:lpstr>
      <vt:lpstr>VERIFMAJ!magie_interactive_et_jeux_divers_no174_49</vt:lpstr>
      <vt:lpstr>VERIFMAJ!magie_interactive_et_jeux_divers_no174_5</vt:lpstr>
      <vt:lpstr>VERIFMAJ!magie_interactive_et_jeux_divers_no174_50</vt:lpstr>
      <vt:lpstr>VERIFMAJ!magie_interactive_et_jeux_divers_no174_51</vt:lpstr>
      <vt:lpstr>VERIFMAJ!magie_interactive_et_jeux_divers_no174_52</vt:lpstr>
      <vt:lpstr>VERIFMAJ!magie_interactive_et_jeux_divers_no174_53</vt:lpstr>
      <vt:lpstr>VERIFMAJ!magie_interactive_et_jeux_divers_no174_54</vt:lpstr>
      <vt:lpstr>VERIFMAJ!magie_interactive_et_jeux_divers_no174_55</vt:lpstr>
      <vt:lpstr>VERIFMAJ!magie_interactive_et_jeux_divers_no174_56</vt:lpstr>
      <vt:lpstr>VERIFMAJ!magie_interactive_et_jeux_divers_no174_57</vt:lpstr>
      <vt:lpstr>VERIFMAJ!magie_interactive_et_jeux_divers_no174_58</vt:lpstr>
      <vt:lpstr>VERIFMAJ!magie_interactive_et_jeux_divers_no174_59</vt:lpstr>
      <vt:lpstr>VERIFMAJ!magie_interactive_et_jeux_divers_no174_6</vt:lpstr>
      <vt:lpstr>VERIFMAJ!magie_interactive_et_jeux_divers_no174_60</vt:lpstr>
      <vt:lpstr>VERIFMAJ!magie_interactive_et_jeux_divers_no174_61</vt:lpstr>
      <vt:lpstr>VERIFMAJ!magie_interactive_et_jeux_divers_no174_62</vt:lpstr>
      <vt:lpstr>VERIFMAJ!magie_interactive_et_jeux_divers_no174_63</vt:lpstr>
      <vt:lpstr>VERIFMAJ!magie_interactive_et_jeux_divers_no174_64</vt:lpstr>
      <vt:lpstr>VERIFMAJ!magie_interactive_et_jeux_divers_no174_65</vt:lpstr>
      <vt:lpstr>VERIFMAJ!magie_interactive_et_jeux_divers_no174_66</vt:lpstr>
      <vt:lpstr>VERIFMAJ!magie_interactive_et_jeux_divers_no174_67</vt:lpstr>
      <vt:lpstr>VERIFMAJ!magie_interactive_et_jeux_divers_no174_68</vt:lpstr>
      <vt:lpstr>VERIFMAJ!magie_interactive_et_jeux_divers_no174_69</vt:lpstr>
      <vt:lpstr>VERIFMAJ!magie_interactive_et_jeux_divers_no174_7</vt:lpstr>
      <vt:lpstr>VERIFMAJ!magie_interactive_et_jeux_divers_no174_70</vt:lpstr>
      <vt:lpstr>VERIFMAJ!magie_interactive_et_jeux_divers_no174_71</vt:lpstr>
      <vt:lpstr>VERIFMAJ!magie_interactive_et_jeux_divers_no174_72</vt:lpstr>
      <vt:lpstr>VERIFMAJ!magie_interactive_et_jeux_divers_no174_73</vt:lpstr>
      <vt:lpstr>VERIFMAJ!magie_interactive_et_jeux_divers_no174_74</vt:lpstr>
      <vt:lpstr>VERIFMAJ!magie_interactive_et_jeux_divers_no174_75</vt:lpstr>
      <vt:lpstr>VERIFMAJ!magie_interactive_et_jeux_divers_no174_76</vt:lpstr>
      <vt:lpstr>VERIFMAJ!magie_interactive_et_jeux_divers_no174_77</vt:lpstr>
      <vt:lpstr>VERIFMAJ!magie_interactive_et_jeux_divers_no174_78</vt:lpstr>
      <vt:lpstr>VERIFMAJ!magie_interactive_et_jeux_divers_no174_79</vt:lpstr>
      <vt:lpstr>VERIFMAJ!magie_interactive_et_jeux_divers_no174_8</vt:lpstr>
      <vt:lpstr>VERIFMAJ!magie_interactive_et_jeux_divers_no174_80</vt:lpstr>
      <vt:lpstr>VERIFMAJ!magie_interactive_et_jeux_divers_no174_81</vt:lpstr>
      <vt:lpstr>VERIFMAJ!magie_interactive_et_jeux_divers_no174_82</vt:lpstr>
      <vt:lpstr>VERIFMAJ!magie_interactive_et_jeux_divers_no174_83</vt:lpstr>
      <vt:lpstr>VERIFMAJ!magie_interactive_et_jeux_divers_no174_84</vt:lpstr>
      <vt:lpstr>VERIFMAJ!magie_interactive_et_jeux_divers_no174_85</vt:lpstr>
      <vt:lpstr>VERIFMAJ!magie_interactive_et_jeux_divers_no174_86</vt:lpstr>
      <vt:lpstr>VERIFMAJ!magie_interactive_et_jeux_divers_no174_87</vt:lpstr>
      <vt:lpstr>VERIFMAJ!magie_interactive_et_jeux_divers_no174_88</vt:lpstr>
      <vt:lpstr>VERIFMAJ!magie_interactive_et_jeux_divers_no174_89</vt:lpstr>
      <vt:lpstr>VERIFMAJ!magie_interactive_et_jeux_divers_no174_9</vt:lpstr>
      <vt:lpstr>VERIFMAJ!magie_interactive_et_jeux_divers_no174_90</vt:lpstr>
      <vt:lpstr>VERIFMAJ!magie_interactive_et_jeux_divers_no174_91</vt:lpstr>
      <vt:lpstr>VERIFMAJ!magie_interactive_et_jeux_divers_no174_92</vt:lpstr>
      <vt:lpstr>VERIFMAJ!magie_interactive_et_jeux_divers_no174_93</vt:lpstr>
      <vt:lpstr>VERIFMAJ!magie_interactive_et_jeux_divers_no174_94</vt:lpstr>
      <vt:lpstr>VERIFMAJ!magie_interactive_et_jeux_divers_no174_95</vt:lpstr>
      <vt:lpstr>VERIFMAJ!magie_interactive_et_jeux_divers_no174_96</vt:lpstr>
      <vt:lpstr>VERIFMAJ!magie_interactive_et_jeux_divers_no174_97</vt:lpstr>
      <vt:lpstr>VERIFMAJ!magie_interactive_et_jeux_divers_no174_98</vt:lpstr>
      <vt:lpstr>VERIFMAJ!magie_interactive_et_jeux_divers_no174_99</vt:lpstr>
      <vt:lpstr>Mout</vt:lpstr>
      <vt:lpstr>Osiris</vt:lpstr>
      <vt:lpstr>Poissons</vt:lpstr>
      <vt:lpstr>Rat</vt:lpstr>
      <vt:lpstr>Rat_El._Bois</vt:lpstr>
      <vt:lpstr>Rat_El._Eau</vt:lpstr>
      <vt:lpstr>Rat_El._Feu</vt:lpstr>
      <vt:lpstr>Rat_El._Métal</vt:lpstr>
      <vt:lpstr>Rat_El._Terre</vt:lpstr>
      <vt:lpstr>Sagittaire</vt:lpstr>
      <vt:lpstr>Scorpion</vt:lpstr>
      <vt:lpstr>Sekhmet</vt:lpstr>
      <vt:lpstr>Serpent</vt:lpstr>
      <vt:lpstr>Serpent_El._Bois</vt:lpstr>
      <vt:lpstr>Serpent_El._Eau</vt:lpstr>
      <vt:lpstr>Serpent_El._Feu</vt:lpstr>
      <vt:lpstr>Serpent_El._Métal</vt:lpstr>
      <vt:lpstr>Serpent_El._Terre</vt:lpstr>
      <vt:lpstr>Seth</vt:lpstr>
      <vt:lpstr>Signes_CHINOIS</vt:lpstr>
      <vt:lpstr>Signes_EGYPTIEN</vt:lpstr>
      <vt:lpstr>Signes_ZODIAC</vt:lpstr>
      <vt:lpstr>Singe</vt:lpstr>
      <vt:lpstr>Singe_El._Bois</vt:lpstr>
      <vt:lpstr>Singe_El._Eau</vt:lpstr>
      <vt:lpstr>Singe_El._Feu</vt:lpstr>
      <vt:lpstr>Singe_El._Métal</vt:lpstr>
      <vt:lpstr>Singe_El._Terre</vt:lpstr>
      <vt:lpstr>Taureau</vt:lpstr>
      <vt:lpstr>Thot</vt:lpstr>
      <vt:lpstr>Tigre</vt:lpstr>
      <vt:lpstr>Tigre_El._Bois</vt:lpstr>
      <vt:lpstr>Tigre_El._Eau</vt:lpstr>
      <vt:lpstr>Tigre_El._Feu</vt:lpstr>
      <vt:lpstr>Tigre_El._Métal</vt:lpstr>
      <vt:lpstr>Tigre_El._Terre</vt:lpstr>
      <vt:lpstr>Verseau</vt:lpstr>
      <vt:lpstr>Vierge</vt:lpstr>
      <vt:lpstr>ILLUSIONS!Zone_d_impression</vt:lpstr>
    </vt:vector>
  </TitlesOfParts>
  <Company>Euro Information client principal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EVAINSE</dc:creator>
  <cp:lastModifiedBy>Yoshi</cp:lastModifiedBy>
  <cp:lastPrinted>2016-02-02T19:12:04Z</cp:lastPrinted>
  <dcterms:created xsi:type="dcterms:W3CDTF">2010-04-20T08:20:41Z</dcterms:created>
  <dcterms:modified xsi:type="dcterms:W3CDTF">2018-06-06T19:43:59Z</dcterms:modified>
</cp:coreProperties>
</file>