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workbookProtection lockStructure="1"/>
  <bookViews>
    <workbookView xWindow="120" yWindow="45" windowWidth="21315" windowHeight="9795" tabRatio="651"/>
  </bookViews>
  <sheets>
    <sheet name="Accueil" sheetId="20" r:id="rId1"/>
    <sheet name="Interventions" sheetId="3" r:id="rId2"/>
    <sheet name="Opérations" sheetId="18" r:id="rId3"/>
    <sheet name="Entêtes commandes" sheetId="1" r:id="rId4"/>
    <sheet name="Lignes commandes" sheetId="2" r:id="rId5"/>
    <sheet name="Bon de commande" sheetId="19" r:id="rId6"/>
    <sheet name="Factures Fluides et Energies" sheetId="16" r:id="rId7"/>
    <sheet name="Chantiers" sheetId="8" r:id="rId8"/>
    <sheet name="Imputations" sheetId="10" r:id="rId9"/>
    <sheet name="Fournisseurs" sheetId="9" r:id="rId10"/>
    <sheet name="Agents" sheetId="7" r:id="rId11"/>
    <sheet name="Bâtiments" sheetId="11" r:id="rId12"/>
    <sheet name="Catégories de bâtiments" sheetId="12" r:id="rId13"/>
    <sheet name="Services" sheetId="13" r:id="rId14"/>
    <sheet name="Fluides et Energies" sheetId="14" r:id="rId15"/>
    <sheet name="Points de consommation" sheetId="15" r:id="rId16"/>
    <sheet name="Synthèse Consommations" sheetId="17" r:id="rId17"/>
    <sheet name="Paramètres" sheetId="6" r:id="rId18"/>
  </sheets>
  <functionGroups/>
  <definedNames>
    <definedName name="_xlnm._FilterDatabase" localSheetId="12" hidden="1">'Catégories de bâtiments'!$A$5:$F$13</definedName>
    <definedName name="_xlnm._FilterDatabase" localSheetId="7" hidden="1">Chantiers!$A$3:$H$7</definedName>
    <definedName name="_xlnm._FilterDatabase" localSheetId="3" hidden="1">'Entêtes commandes'!$A$3:$J$8</definedName>
    <definedName name="_xlnm._FilterDatabase" localSheetId="6" hidden="1">'Factures Fluides et Energies'!$A$3:$T$26</definedName>
    <definedName name="_xlnm._FilterDatabase" localSheetId="14" hidden="1">'Fluides et Energies'!$A$5:$G$12</definedName>
    <definedName name="_xlnm._FilterDatabase" localSheetId="9" hidden="1">Fournisseurs!$A$3:$F$9</definedName>
    <definedName name="_xlnm._FilterDatabase" localSheetId="8" hidden="1">Imputations!$A$3:$H$7</definedName>
    <definedName name="_xlnm._FilterDatabase" localSheetId="1" hidden="1">Interventions!$A$3:$L$8</definedName>
    <definedName name="_xlnm._FilterDatabase" localSheetId="4" hidden="1">'Lignes commandes'!$A$3:$L$18</definedName>
    <definedName name="_xlnm._FilterDatabase" localSheetId="15" hidden="1">'Points de consommation'!$A$5:$H$19</definedName>
    <definedName name="_xlnm._FilterDatabase" localSheetId="13" hidden="1">Services!$A$5:$E$10</definedName>
    <definedName name="Afficher_Entêtes">Paramètres!$B$87</definedName>
    <definedName name="Afficher_Feuilles">Paramètres!$B$86</definedName>
    <definedName name="Afficher_Formules">Paramètres!$B$85</definedName>
    <definedName name="Agents">Agents!$A$5:$H$10</definedName>
    <definedName name="Agents_Services">Agents!$E$5:$H$11</definedName>
    <definedName name="Appliquer_Plein_Ecran">Paramètres!$B$84</definedName>
    <definedName name="Bâtiments">Bâtiments!$A$3:$I$9</definedName>
    <definedName name="Batiments_Catégories">Bâtiments!$H$3:$I$10</definedName>
    <definedName name="Catégories_Bâtiments">'Catégories de bâtiments'!$A$5:$F$13</definedName>
    <definedName name="Cellule_Travail">Paramètres!$B$88</definedName>
    <definedName name="Chantiers">Chantiers!$A$3:$H$7</definedName>
    <definedName name="Collectivité">Paramètres!$B$1</definedName>
    <definedName name="Coûts_MO">Paramètres!$A$48:$C$59</definedName>
    <definedName name="_xlnm.Criteria" localSheetId="4">'Lignes commandes'!$J$3</definedName>
    <definedName name="Critères_BC">'Bon de commande'!$M$3:$M$4</definedName>
    <definedName name="Défaut_Agent">Paramètres!$C$77</definedName>
    <definedName name="Défaut_Bâtiment">Paramètres!$C$78</definedName>
    <definedName name="Défaut_Catégorie_Bâtiment">Paramètres!$C$79</definedName>
    <definedName name="Défaut_Chantier">Paramètres!$C$74</definedName>
    <definedName name="Défaut_Compteur">Paramètres!$C$82</definedName>
    <definedName name="Défaut_Energie">Paramètres!$C$81</definedName>
    <definedName name="Défaut_Entête_Commande">Paramètres!$C$71</definedName>
    <definedName name="Défaut_Facture_Energie">Paramètres!$C$73</definedName>
    <definedName name="Défaut_Fournisseur">Paramètres!$C$76</definedName>
    <definedName name="Défaut_Imputation">Paramètres!$C$75</definedName>
    <definedName name="Défaut_Indicateur">Paramètres!$B$17</definedName>
    <definedName name="Défaut_Intervention">Paramètres!$C$69</definedName>
    <definedName name="Défaut_Ligne_Commande">Paramètres!$C$72</definedName>
    <definedName name="Défaut_Opération">Paramètres!$C$70</definedName>
    <definedName name="Défaut_Périodicité">Paramètres!$B$31</definedName>
    <definedName name="Défaut_Section">Paramètres!$B$65</definedName>
    <definedName name="Défaut_Service">Paramètres!$C$80</definedName>
    <definedName name="Défaut_Taux_TVA">Paramètres!$B$45</definedName>
    <definedName name="Energies">'Fluides et Energies'!$A$5:$G$12</definedName>
    <definedName name="Entêtes_Commandes">'Entêtes commandes'!$A$3:$J$8</definedName>
    <definedName name="Extraction_BC">'Lignes commandes'!$A$189:$L$189</definedName>
    <definedName name="_xlnm.Extract" localSheetId="4">'Lignes commandes'!$A$189:$L$189</definedName>
    <definedName name="Factures_Energies">'Factures Fluides et Energies'!$A$3:$T$26</definedName>
    <definedName name="Fournisseurs">Fournisseurs!$A$3:$F$9</definedName>
    <definedName name="_xlnm.Print_Titles" localSheetId="10">Agents!$1:$5</definedName>
    <definedName name="_xlnm.Print_Titles" localSheetId="11">Bâtiments!$1:$3</definedName>
    <definedName name="_xlnm.Print_Titles" localSheetId="12">'Catégories de bâtiments'!$1:$5</definedName>
    <definedName name="_xlnm.Print_Titles" localSheetId="7">Chantiers!$1:$3</definedName>
    <definedName name="_xlnm.Print_Titles" localSheetId="3">'Entêtes commandes'!$1:$3</definedName>
    <definedName name="_xlnm.Print_Titles" localSheetId="6">'Factures Fluides et Energies'!$1:$3</definedName>
    <definedName name="_xlnm.Print_Titles" localSheetId="14">'Fluides et Energies'!$1:$5</definedName>
    <definedName name="_xlnm.Print_Titles" localSheetId="9">Fournisseurs!$1:$3</definedName>
    <definedName name="_xlnm.Print_Titles" localSheetId="8">Imputations!$1:$3</definedName>
    <definedName name="_xlnm.Print_Titles" localSheetId="1">Interventions!$1:$3</definedName>
    <definedName name="_xlnm.Print_Titles" localSheetId="4">'Lignes commandes'!$1:$3</definedName>
    <definedName name="_xlnm.Print_Titles" localSheetId="2">Opérations!$1:$3</definedName>
    <definedName name="_xlnm.Print_Titles" localSheetId="15">'Points de consommation'!$1:$5</definedName>
    <definedName name="_xlnm.Print_Titles" localSheetId="13">Services!$1:$5</definedName>
    <definedName name="Imputations">Imputations!$A$3:$H$7</definedName>
    <definedName name="Indicateurs">Paramètres!$A$6:$B$16</definedName>
    <definedName name="Interventions">Interventions!$A$3:$L$8</definedName>
    <definedName name="Lignes_Commandes">'Lignes commandes'!$A$3:$L$18</definedName>
    <definedName name="Liste_Agents">Agents!$E$5:$E$10</definedName>
    <definedName name="Liste_Bâtiments">Bâtiments!$H$3:$H$9</definedName>
    <definedName name="Liste_Catégories_Bâtiments">'Catégories de bâtiments'!$A$5:$A$13</definedName>
    <definedName name="Liste_Chantiers">Chantiers!$H$3:$H$7</definedName>
    <definedName name="Liste_Compteurs">'Points de consommation'!$A$5:$A$19</definedName>
    <definedName name="Liste_Energies">'Fluides et Energies'!$A$5:$A$12</definedName>
    <definedName name="Liste_Entêtes">'Entêtes commandes'!$A$3:$A$8</definedName>
    <definedName name="Liste_Fournisseurs">Fournisseurs!$A$3:$A$9</definedName>
    <definedName name="Liste_Imputations">Imputations!$A$3:$A$7</definedName>
    <definedName name="Liste_Indicateurs">Paramètres!$A$7:$A$16</definedName>
    <definedName name="Liste_Interventions">Interventions!$A$3:$A$8</definedName>
    <definedName name="Liste_Périodicités">Paramètres!$A$21:$A$30</definedName>
    <definedName name="Liste_Rédacteurs">Agents!$E$5:$E$10</definedName>
    <definedName name="Liste_Sections">Paramètres!$A$63:$A$64</definedName>
    <definedName name="Liste_Services">Services!$A$5:$A$10</definedName>
    <definedName name="Liste_Taux_TVA">Paramètres!$A$34:$A$44</definedName>
    <definedName name="Nb_Lignes_BC">'Bon de commande'!$N$4</definedName>
    <definedName name="No_BC">'Bon de commande'!$H$3</definedName>
    <definedName name="No_BC_TCD">'Bon de commande'!$D$41</definedName>
    <definedName name="Opérations">Opérations!$A$3:$I$8</definedName>
    <definedName name="Périodicités">Paramètres!$A$20:$B$30</definedName>
    <definedName name="Points_Consommation">'Points de consommation'!$A$5:$H$19</definedName>
    <definedName name="Première_Ligne_Agents">Paramètres!$B$77</definedName>
    <definedName name="Première_Ligne_Bâtiments">Paramètres!$B$78</definedName>
    <definedName name="Première_Ligne_Catégories_Bâtiments">Paramètres!$B$79</definedName>
    <definedName name="Première_Ligne_Chantiers">Paramètres!$B$74</definedName>
    <definedName name="Première_Ligne_Entêtes_Commandes">Paramètres!$B$71</definedName>
    <definedName name="Première_Ligne_Factures">Paramètres!$B$73</definedName>
    <definedName name="Première_Ligne_Fluides_Energies">Paramètres!$B$81</definedName>
    <definedName name="Première_Ligne_Fournisseurs">Paramètres!$B$76</definedName>
    <definedName name="Première_Ligne_Imputations">Paramètres!$B$75</definedName>
    <definedName name="Première_Ligne_Interventions">Paramètres!$B$69</definedName>
    <definedName name="Première_Ligne_Lignes_Commandes">Paramètres!$B$72</definedName>
    <definedName name="Première_Ligne_Opérations">Paramètres!$B$70</definedName>
    <definedName name="Première_Ligne_Points_Consommation">Paramètres!$B$82</definedName>
    <definedName name="Première_Ligne_Services">Paramètres!$B$80</definedName>
    <definedName name="Service">Paramètres!$B$3</definedName>
    <definedName name="Services">Services!$A$5:$E$10</definedName>
    <definedName name="Ville">Paramètres!$B$2</definedName>
    <definedName name="_xlnm.Print_Area" localSheetId="5">'Bon de commande'!$A$1:$I$50</definedName>
  </definedNames>
  <calcPr calcId="125725"/>
  <pivotCaches>
    <pivotCache cacheId="0" r:id="rId19"/>
    <pivotCache cacheId="1" r:id="rId20"/>
  </pivotCaches>
</workbook>
</file>

<file path=xl/calcChain.xml><?xml version="1.0" encoding="utf-8"?>
<calcChain xmlns="http://schemas.openxmlformats.org/spreadsheetml/2006/main">
  <c r="L16" i="2"/>
  <c r="K16"/>
  <c r="J16"/>
  <c r="I16"/>
  <c r="R5" i="16"/>
  <c r="K5"/>
  <c r="H5"/>
  <c r="D5"/>
  <c r="T5" s="1"/>
  <c r="C5"/>
  <c r="E5" s="1"/>
  <c r="R4"/>
  <c r="K4"/>
  <c r="H4"/>
  <c r="D4"/>
  <c r="T4" s="1"/>
  <c r="C4"/>
  <c r="E4" s="1"/>
  <c r="R10"/>
  <c r="K10"/>
  <c r="H10"/>
  <c r="D10"/>
  <c r="T10" s="1"/>
  <c r="C10"/>
  <c r="E10" s="1"/>
  <c r="L7" i="2"/>
  <c r="K7"/>
  <c r="J7"/>
  <c r="I7"/>
  <c r="L10"/>
  <c r="K10"/>
  <c r="J10"/>
  <c r="I10"/>
  <c r="J7" i="1"/>
  <c r="I7"/>
  <c r="J6"/>
  <c r="I6"/>
  <c r="J4"/>
  <c r="I4"/>
  <c r="I8" i="3"/>
  <c r="H5" i="11"/>
  <c r="D1"/>
  <c r="H8"/>
  <c r="E8" s="1"/>
  <c r="H9"/>
  <c r="H5" i="8"/>
  <c r="E5" s="1"/>
  <c r="H4" i="11"/>
  <c r="E4" s="1"/>
  <c r="D6" i="12"/>
  <c r="C6"/>
  <c r="R8" i="16"/>
  <c r="K8"/>
  <c r="H8"/>
  <c r="D8"/>
  <c r="C8"/>
  <c r="E8" s="1"/>
  <c r="E6" i="7"/>
  <c r="D6" s="1"/>
  <c r="G11" i="15"/>
  <c r="D11"/>
  <c r="E9" i="7"/>
  <c r="C9"/>
  <c r="E10"/>
  <c r="C10"/>
  <c r="L17" i="2"/>
  <c r="K17"/>
  <c r="J17"/>
  <c r="H5" i="10" s="1"/>
  <c r="I17" i="2"/>
  <c r="J4" i="3"/>
  <c r="H4"/>
  <c r="H6" i="18"/>
  <c r="I6" s="1"/>
  <c r="H4" i="10"/>
  <c r="H4" i="8"/>
  <c r="E4" s="1"/>
  <c r="F4" i="9"/>
  <c r="B6" i="13"/>
  <c r="G10" i="15"/>
  <c r="D10"/>
  <c r="B9" i="13"/>
  <c r="D7" i="12"/>
  <c r="C7"/>
  <c r="H6" i="11"/>
  <c r="E7" i="7"/>
  <c r="C7"/>
  <c r="H7" i="8"/>
  <c r="L5" i="2"/>
  <c r="K5"/>
  <c r="I5"/>
  <c r="J5" s="1"/>
  <c r="H8" i="18"/>
  <c r="I8" s="1"/>
  <c r="J8" i="3"/>
  <c r="H8"/>
  <c r="R7" i="16"/>
  <c r="K7"/>
  <c r="H7"/>
  <c r="D7"/>
  <c r="C7"/>
  <c r="E7" s="1"/>
  <c r="L11" i="2"/>
  <c r="K11"/>
  <c r="I11"/>
  <c r="J11" s="1"/>
  <c r="L5" i="16" l="1"/>
  <c r="L4"/>
  <c r="L10"/>
  <c r="H7" i="1"/>
  <c r="E9" i="11"/>
  <c r="D5" i="8"/>
  <c r="F5"/>
  <c r="D4"/>
  <c r="G4" s="1"/>
  <c r="F4"/>
  <c r="E6" i="12"/>
  <c r="L8" i="16"/>
  <c r="C6" i="7"/>
  <c r="K8" i="3"/>
  <c r="L8" s="1"/>
  <c r="L7" i="16"/>
  <c r="G5" i="8" l="1"/>
  <c r="H6" i="16"/>
  <c r="T8"/>
  <c r="D11" i="12"/>
  <c r="C11"/>
  <c r="D10"/>
  <c r="C10"/>
  <c r="G19" i="15"/>
  <c r="D19"/>
  <c r="G6"/>
  <c r="D6"/>
  <c r="E8" i="7"/>
  <c r="B8" i="13"/>
  <c r="B10"/>
  <c r="B7"/>
  <c r="J8" i="1"/>
  <c r="I8"/>
  <c r="L18" i="2"/>
  <c r="K18"/>
  <c r="I18"/>
  <c r="J18" s="1"/>
  <c r="L4"/>
  <c r="K4"/>
  <c r="I4"/>
  <c r="J4" s="1"/>
  <c r="J5" i="1"/>
  <c r="I5"/>
  <c r="K7" i="3"/>
  <c r="J7"/>
  <c r="I7"/>
  <c r="H4" i="1" l="1"/>
  <c r="H6"/>
  <c r="C8" i="7"/>
  <c r="E6" i="18"/>
  <c r="E5"/>
  <c r="E8"/>
  <c r="H8" i="1"/>
  <c r="T7" i="16"/>
  <c r="E11" i="12"/>
  <c r="L7" i="3"/>
  <c r="H5" i="18"/>
  <c r="I5" s="1"/>
  <c r="K4" i="3" s="1"/>
  <c r="H7"/>
  <c r="J5"/>
  <c r="H5"/>
  <c r="E7" i="8"/>
  <c r="E5" i="11" l="1"/>
  <c r="E7" i="12" s="1"/>
  <c r="L14" i="2"/>
  <c r="K14"/>
  <c r="I14"/>
  <c r="J14" s="1"/>
  <c r="L13"/>
  <c r="K13"/>
  <c r="I13"/>
  <c r="J13" s="1"/>
  <c r="L12"/>
  <c r="K12"/>
  <c r="I12"/>
  <c r="J12" s="1"/>
  <c r="M4" i="19"/>
  <c r="N4" s="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11"/>
  <c r="D12"/>
  <c r="F12" s="1"/>
  <c r="D13"/>
  <c r="D14"/>
  <c r="F14" s="1"/>
  <c r="D15"/>
  <c r="D16"/>
  <c r="F16" s="1"/>
  <c r="D17"/>
  <c r="D18"/>
  <c r="D19"/>
  <c r="F19" s="1"/>
  <c r="D20"/>
  <c r="F20" s="1"/>
  <c r="D21"/>
  <c r="F21" s="1"/>
  <c r="D22"/>
  <c r="F22" s="1"/>
  <c r="D23"/>
  <c r="F23" s="1"/>
  <c r="D24"/>
  <c r="F24" s="1"/>
  <c r="D25"/>
  <c r="F25" s="1"/>
  <c r="D26"/>
  <c r="F26" s="1"/>
  <c r="D27"/>
  <c r="F27" s="1"/>
  <c r="D28"/>
  <c r="F28" s="1"/>
  <c r="D29"/>
  <c r="F29" s="1"/>
  <c r="D30"/>
  <c r="F30" s="1"/>
  <c r="D11"/>
  <c r="F11" s="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11"/>
  <c r="F18"/>
  <c r="F17" l="1"/>
  <c r="H17" s="1"/>
  <c r="I17" s="1"/>
  <c r="F15"/>
  <c r="H15" s="1"/>
  <c r="I15" s="1"/>
  <c r="F13"/>
  <c r="H13" s="1"/>
  <c r="I13" s="1"/>
  <c r="H30"/>
  <c r="I30" s="1"/>
  <c r="H28"/>
  <c r="I28" s="1"/>
  <c r="H26"/>
  <c r="I26" s="1"/>
  <c r="H24"/>
  <c r="I24" s="1"/>
  <c r="H22"/>
  <c r="I22" s="1"/>
  <c r="H20"/>
  <c r="I20" s="1"/>
  <c r="H18"/>
  <c r="I18" s="1"/>
  <c r="H16"/>
  <c r="I16" s="1"/>
  <c r="H14"/>
  <c r="I14" s="1"/>
  <c r="H12"/>
  <c r="I12" s="1"/>
  <c r="H29"/>
  <c r="I29" s="1"/>
  <c r="H27"/>
  <c r="I27" s="1"/>
  <c r="H25"/>
  <c r="I25" s="1"/>
  <c r="H23"/>
  <c r="I23" s="1"/>
  <c r="H21"/>
  <c r="I21" s="1"/>
  <c r="H19"/>
  <c r="I19" s="1"/>
  <c r="H11"/>
  <c r="I11" s="1"/>
  <c r="L6" i="2"/>
  <c r="L8"/>
  <c r="L9"/>
  <c r="L15"/>
  <c r="K6"/>
  <c r="K8"/>
  <c r="K9"/>
  <c r="K15"/>
  <c r="C8" i="19"/>
  <c r="D6"/>
  <c r="I1"/>
  <c r="F31" l="1"/>
  <c r="D7"/>
  <c r="D8"/>
  <c r="H31"/>
  <c r="I31"/>
  <c r="C3" i="15"/>
  <c r="J6" i="3"/>
  <c r="J1" s="1"/>
  <c r="H4" i="18"/>
  <c r="I4" s="1"/>
  <c r="H7"/>
  <c r="I7" s="1"/>
  <c r="A1"/>
  <c r="K5" i="3"/>
  <c r="F1" i="18"/>
  <c r="R19" i="16"/>
  <c r="K19"/>
  <c r="H19"/>
  <c r="D19"/>
  <c r="C19"/>
  <c r="L19" s="1"/>
  <c r="R18"/>
  <c r="K18"/>
  <c r="H18"/>
  <c r="D18"/>
  <c r="C18"/>
  <c r="L18" s="1"/>
  <c r="R17"/>
  <c r="K17"/>
  <c r="H17"/>
  <c r="D17"/>
  <c r="C17"/>
  <c r="L17" s="1"/>
  <c r="R11"/>
  <c r="K11"/>
  <c r="H11"/>
  <c r="D11"/>
  <c r="C11"/>
  <c r="L11" s="1"/>
  <c r="R9"/>
  <c r="K9"/>
  <c r="H9"/>
  <c r="D9"/>
  <c r="C9"/>
  <c r="E9" s="1"/>
  <c r="R15"/>
  <c r="K15"/>
  <c r="H15"/>
  <c r="D15"/>
  <c r="C15"/>
  <c r="L15" s="1"/>
  <c r="R14"/>
  <c r="K14"/>
  <c r="H14"/>
  <c r="D14"/>
  <c r="C14"/>
  <c r="L14" s="1"/>
  <c r="R13"/>
  <c r="K13"/>
  <c r="H13"/>
  <c r="D13"/>
  <c r="C13"/>
  <c r="L13" s="1"/>
  <c r="H12"/>
  <c r="H22"/>
  <c r="H20"/>
  <c r="H21"/>
  <c r="H23"/>
  <c r="H16"/>
  <c r="H24"/>
  <c r="H25"/>
  <c r="H26"/>
  <c r="F12" i="12"/>
  <c r="F9"/>
  <c r="F13"/>
  <c r="G7" i="15"/>
  <c r="G8"/>
  <c r="G9"/>
  <c r="G12"/>
  <c r="G13"/>
  <c r="G14"/>
  <c r="G15"/>
  <c r="G16"/>
  <c r="G17"/>
  <c r="G18"/>
  <c r="O1" i="16"/>
  <c r="P1"/>
  <c r="R6"/>
  <c r="R12"/>
  <c r="R22"/>
  <c r="R20"/>
  <c r="R21"/>
  <c r="R23"/>
  <c r="R16"/>
  <c r="R24"/>
  <c r="R25"/>
  <c r="R26"/>
  <c r="K6"/>
  <c r="K12"/>
  <c r="K22"/>
  <c r="K20"/>
  <c r="K21"/>
  <c r="K23"/>
  <c r="K16"/>
  <c r="K24"/>
  <c r="K25"/>
  <c r="K26"/>
  <c r="D6"/>
  <c r="D12"/>
  <c r="D22"/>
  <c r="D20"/>
  <c r="D21"/>
  <c r="D23"/>
  <c r="D16"/>
  <c r="D24"/>
  <c r="D25"/>
  <c r="D26"/>
  <c r="C6"/>
  <c r="L6" s="1"/>
  <c r="C12"/>
  <c r="L12" s="1"/>
  <c r="C22"/>
  <c r="L22" s="1"/>
  <c r="C20"/>
  <c r="L20" s="1"/>
  <c r="C21"/>
  <c r="L21" s="1"/>
  <c r="C23"/>
  <c r="L23" s="1"/>
  <c r="C16"/>
  <c r="L16" s="1"/>
  <c r="C24"/>
  <c r="L24" s="1"/>
  <c r="C25"/>
  <c r="E25" s="1"/>
  <c r="C26"/>
  <c r="L26" s="1"/>
  <c r="A1"/>
  <c r="M1"/>
  <c r="D18" i="15"/>
  <c r="D16"/>
  <c r="D15"/>
  <c r="D17"/>
  <c r="D8"/>
  <c r="D13"/>
  <c r="D7"/>
  <c r="D9"/>
  <c r="D12"/>
  <c r="D14"/>
  <c r="A1"/>
  <c r="D12" i="14"/>
  <c r="A1"/>
  <c r="A1" i="13"/>
  <c r="A1" i="7"/>
  <c r="D12" i="12"/>
  <c r="D9"/>
  <c r="D8"/>
  <c r="D13"/>
  <c r="C13"/>
  <c r="C12"/>
  <c r="C9"/>
  <c r="C8"/>
  <c r="E13"/>
  <c r="E12"/>
  <c r="E9"/>
  <c r="E8"/>
  <c r="A1"/>
  <c r="H6" i="8"/>
  <c r="H7" i="11"/>
  <c r="A1" i="9"/>
  <c r="A1" i="11"/>
  <c r="A1" i="8"/>
  <c r="H6" i="3"/>
  <c r="A1"/>
  <c r="A1" i="2"/>
  <c r="I6"/>
  <c r="J6" s="1"/>
  <c r="I4" i="3" s="1"/>
  <c r="L4" s="1"/>
  <c r="I8" i="2"/>
  <c r="J8" s="1"/>
  <c r="I9"/>
  <c r="J9" s="1"/>
  <c r="H6" i="10" s="1"/>
  <c r="I15" i="2"/>
  <c r="J15" s="1"/>
  <c r="A1" i="10"/>
  <c r="A1" i="1"/>
  <c r="G6" l="1"/>
  <c r="D10" i="7" s="1"/>
  <c r="G7" i="1"/>
  <c r="D7" i="7" s="1"/>
  <c r="G4" i="1"/>
  <c r="D8" i="7" s="1"/>
  <c r="F9" i="11"/>
  <c r="F8" i="12" s="1"/>
  <c r="F5" i="11"/>
  <c r="F4"/>
  <c r="F8"/>
  <c r="E11" i="15"/>
  <c r="F11"/>
  <c r="F6" i="12"/>
  <c r="F6" i="14"/>
  <c r="D6"/>
  <c r="D9"/>
  <c r="E6"/>
  <c r="F11" i="12"/>
  <c r="F10" i="15"/>
  <c r="E10"/>
  <c r="F7" i="8"/>
  <c r="D7" i="14"/>
  <c r="F6" i="11"/>
  <c r="F8" i="9"/>
  <c r="G8" i="1"/>
  <c r="F6" i="9" s="1"/>
  <c r="E19" i="15"/>
  <c r="E6"/>
  <c r="F19"/>
  <c r="F6"/>
  <c r="F7" i="12"/>
  <c r="D8" i="14"/>
  <c r="T6" i="16"/>
  <c r="T9"/>
  <c r="T11"/>
  <c r="E4" i="18"/>
  <c r="H5" i="1"/>
  <c r="C6" i="19"/>
  <c r="G5" i="1"/>
  <c r="I5" i="3"/>
  <c r="D7" i="8" s="1"/>
  <c r="B3" i="13"/>
  <c r="E6" i="8"/>
  <c r="I6" i="3"/>
  <c r="D6" i="8" s="1"/>
  <c r="H7" i="10"/>
  <c r="H1" s="1"/>
  <c r="K6" i="3"/>
  <c r="K1" s="1"/>
  <c r="E7" i="18"/>
  <c r="T25" i="16"/>
  <c r="T16"/>
  <c r="T21"/>
  <c r="T22"/>
  <c r="T14"/>
  <c r="T18"/>
  <c r="T26"/>
  <c r="T24"/>
  <c r="T23"/>
  <c r="T20"/>
  <c r="T12"/>
  <c r="T13"/>
  <c r="T15"/>
  <c r="T17"/>
  <c r="T19"/>
  <c r="I1" i="18"/>
  <c r="E17" i="16"/>
  <c r="E18"/>
  <c r="K1"/>
  <c r="E19"/>
  <c r="E11"/>
  <c r="L9"/>
  <c r="F16" i="15"/>
  <c r="F9" i="14" s="1"/>
  <c r="F12" i="15"/>
  <c r="F8"/>
  <c r="F17"/>
  <c r="F13"/>
  <c r="F7" i="14" s="1"/>
  <c r="F9" i="15"/>
  <c r="F18"/>
  <c r="F14"/>
  <c r="F15"/>
  <c r="F7"/>
  <c r="E15" i="16"/>
  <c r="E14"/>
  <c r="F7" i="11"/>
  <c r="E13" i="16"/>
  <c r="E15" i="15"/>
  <c r="E7"/>
  <c r="E16"/>
  <c r="E9" i="14" s="1"/>
  <c r="E12" i="15"/>
  <c r="E8"/>
  <c r="E17"/>
  <c r="E13"/>
  <c r="E7" i="14" s="1"/>
  <c r="E9" i="15"/>
  <c r="E18"/>
  <c r="E14"/>
  <c r="E21" i="16"/>
  <c r="R1"/>
  <c r="E6"/>
  <c r="E20"/>
  <c r="E24"/>
  <c r="E22"/>
  <c r="E16"/>
  <c r="E12"/>
  <c r="E23"/>
  <c r="L25"/>
  <c r="E26"/>
  <c r="D11" i="14"/>
  <c r="D10"/>
  <c r="B3"/>
  <c r="J1" i="2"/>
  <c r="I1"/>
  <c r="F9" i="9" l="1"/>
  <c r="D9" i="7"/>
  <c r="C9" i="13"/>
  <c r="D6"/>
  <c r="C6"/>
  <c r="D9"/>
  <c r="G7" i="8"/>
  <c r="F10" i="14"/>
  <c r="F8"/>
  <c r="E8"/>
  <c r="F10" i="12"/>
  <c r="F7" i="9"/>
  <c r="C7" i="13"/>
  <c r="D8"/>
  <c r="D10"/>
  <c r="D7"/>
  <c r="E1" i="8"/>
  <c r="L6" i="3"/>
  <c r="E7" i="11" s="1"/>
  <c r="C7" i="19"/>
  <c r="D1" i="8"/>
  <c r="I1" i="3"/>
  <c r="C10" i="13"/>
  <c r="C8"/>
  <c r="F12" i="14"/>
  <c r="C3" i="7"/>
  <c r="F11" i="14"/>
  <c r="F3" i="15"/>
  <c r="F1" i="11"/>
  <c r="E10" i="14"/>
  <c r="E11"/>
  <c r="E12"/>
  <c r="E3" i="15"/>
  <c r="D3" i="14"/>
  <c r="F5" i="9"/>
  <c r="G1" i="1"/>
  <c r="D3" i="13" l="1"/>
  <c r="C3"/>
  <c r="F3" i="14"/>
  <c r="D3" i="7"/>
  <c r="F1" i="9"/>
  <c r="F3" i="12"/>
  <c r="E3" i="14"/>
  <c r="F6" i="8" l="1"/>
  <c r="G6" s="1"/>
  <c r="L5" i="3"/>
  <c r="E6" i="11" s="1"/>
  <c r="L1" i="3" l="1"/>
  <c r="G1" i="8"/>
  <c r="F1"/>
  <c r="E1" i="11" l="1"/>
  <c r="E10" i="12"/>
  <c r="E3" s="1"/>
</calcChain>
</file>

<file path=xl/sharedStrings.xml><?xml version="1.0" encoding="utf-8"?>
<sst xmlns="http://schemas.openxmlformats.org/spreadsheetml/2006/main" count="579" uniqueCount="293">
  <si>
    <t>Collectivité</t>
  </si>
  <si>
    <t>Ville d'Excel-les-Bains</t>
  </si>
  <si>
    <t>Service</t>
  </si>
  <si>
    <t>Patrimoine bâti</t>
  </si>
  <si>
    <t>Date</t>
  </si>
  <si>
    <t>Numéro</t>
  </si>
  <si>
    <t>Auteur</t>
  </si>
  <si>
    <t>Nom</t>
  </si>
  <si>
    <t>Prénom</t>
  </si>
  <si>
    <t>Nombre de bons</t>
  </si>
  <si>
    <t>MARCHALL</t>
  </si>
  <si>
    <t>Bernard</t>
  </si>
  <si>
    <t>MONIN</t>
  </si>
  <si>
    <t>Gérard</t>
  </si>
  <si>
    <t>CARATINI</t>
  </si>
  <si>
    <t>Patrice</t>
  </si>
  <si>
    <t>Identité complète</t>
  </si>
  <si>
    <t>Objet</t>
  </si>
  <si>
    <t>Observations</t>
  </si>
  <si>
    <t>BAT140036</t>
  </si>
  <si>
    <t>MARCHALL Bernard</t>
  </si>
  <si>
    <t>Chantier</t>
  </si>
  <si>
    <t>BAT140037</t>
  </si>
  <si>
    <t>Fournisseur</t>
  </si>
  <si>
    <t>Comptoir du menuisier</t>
  </si>
  <si>
    <t>BAT140038</t>
  </si>
  <si>
    <t>Atelier Couleurs</t>
  </si>
  <si>
    <t>Castorama</t>
  </si>
  <si>
    <t>Code</t>
  </si>
  <si>
    <t>Gestionnaire</t>
  </si>
  <si>
    <t>Fonction</t>
  </si>
  <si>
    <t>Nature</t>
  </si>
  <si>
    <t>Section</t>
  </si>
  <si>
    <t>Montant des commandes</t>
  </si>
  <si>
    <t>Libellé</t>
  </si>
  <si>
    <t>BAT</t>
  </si>
  <si>
    <t>020</t>
  </si>
  <si>
    <t>Fonctionnement</t>
  </si>
  <si>
    <t>Fournitures Bâtiment</t>
  </si>
  <si>
    <t>TEC</t>
  </si>
  <si>
    <t>Imputation</t>
  </si>
  <si>
    <t>Quantité</t>
  </si>
  <si>
    <t>PUHT</t>
  </si>
  <si>
    <t>Taux de TVA</t>
  </si>
  <si>
    <t>Montant HT</t>
  </si>
  <si>
    <t>Montant TTC</t>
  </si>
  <si>
    <t>Coffret forets bois luxe</t>
  </si>
  <si>
    <t>FOUBAT</t>
  </si>
  <si>
    <t xml:space="preserve">Coffret gouges </t>
  </si>
  <si>
    <t>Disques ponçage</t>
  </si>
  <si>
    <t>Ponceuse Bosch RG123</t>
  </si>
  <si>
    <t>MATBAT</t>
  </si>
  <si>
    <t>Matériels Bâtiment</t>
  </si>
  <si>
    <t>Investissement</t>
  </si>
  <si>
    <t>Perceuse Black et Decker AR45</t>
  </si>
  <si>
    <t>Montants TTC</t>
  </si>
  <si>
    <t>Intervention</t>
  </si>
  <si>
    <t>BA1400045</t>
  </si>
  <si>
    <t>Fabrication d'un bureau (directeur école Myosotis)</t>
  </si>
  <si>
    <t>Début</t>
  </si>
  <si>
    <t>Fin</t>
  </si>
  <si>
    <t>Indicateur</t>
  </si>
  <si>
    <t>Indicateurs des interventions</t>
  </si>
  <si>
    <t>Terminé</t>
  </si>
  <si>
    <t>Réalisé</t>
  </si>
  <si>
    <t>oui</t>
  </si>
  <si>
    <t>Annulé par le demandeur</t>
  </si>
  <si>
    <t>non</t>
  </si>
  <si>
    <t>Annulé par le service</t>
  </si>
  <si>
    <t>En cours</t>
  </si>
  <si>
    <t>Demande refusée</t>
  </si>
  <si>
    <t>Vérifié</t>
  </si>
  <si>
    <t>Clos</t>
  </si>
  <si>
    <t>Montant TTC des commandes</t>
  </si>
  <si>
    <t>Numéro de commande</t>
  </si>
  <si>
    <t>Heures MO</t>
  </si>
  <si>
    <t>Montant MO</t>
  </si>
  <si>
    <t>Total</t>
  </si>
  <si>
    <t>Travaux 2014 groupe scolaire des Myosotis</t>
  </si>
  <si>
    <t>BA140001</t>
  </si>
  <si>
    <t>Libellé complet</t>
  </si>
  <si>
    <t>BA140001 - Travaux 2014 groupe scolaire des Myosotis</t>
  </si>
  <si>
    <t>BA140002</t>
  </si>
  <si>
    <t>Travaux 2014 groupe scolaire des Cerisiers</t>
  </si>
  <si>
    <t>Bâtiment</t>
  </si>
  <si>
    <t>Hôtel de ville</t>
  </si>
  <si>
    <t>BA001</t>
  </si>
  <si>
    <t>Adresse</t>
  </si>
  <si>
    <t>412 rue de la République</t>
  </si>
  <si>
    <t>BA002</t>
  </si>
  <si>
    <t>Groupe scolaire des Myosotis</t>
  </si>
  <si>
    <t>BA003</t>
  </si>
  <si>
    <t>Groupe scolaire des Cerisiers</t>
  </si>
  <si>
    <t>4 rue des Hussards</t>
  </si>
  <si>
    <t>5 boulevard Charles de Gaulles</t>
  </si>
  <si>
    <t>Catégorie</t>
  </si>
  <si>
    <t>Montant des interventions</t>
  </si>
  <si>
    <t>BA002 - Groupe scolaire des Myosotis</t>
  </si>
  <si>
    <t>BA1400046</t>
  </si>
  <si>
    <t>Réfection des peintures classe de CM1 - Myosotis</t>
  </si>
  <si>
    <t>Fournitures menuiserie</t>
  </si>
  <si>
    <t>Outillage divers</t>
  </si>
  <si>
    <t>Peinture et fournitures diverses</t>
  </si>
  <si>
    <t>Peinture plafond</t>
  </si>
  <si>
    <t>Peinture murs</t>
  </si>
  <si>
    <t>61 rue Jean Jaurès</t>
  </si>
  <si>
    <t>9 place Pablo Picasso</t>
  </si>
  <si>
    <t>Code postal</t>
  </si>
  <si>
    <t>Ville</t>
  </si>
  <si>
    <t>Excel-les-Bains</t>
  </si>
  <si>
    <t>Montants des commandes</t>
  </si>
  <si>
    <t>Nombre de bâtiments</t>
  </si>
  <si>
    <t>Surfaces</t>
  </si>
  <si>
    <t>Montants des interventions</t>
  </si>
  <si>
    <t>Surface</t>
  </si>
  <si>
    <t>Nombre d'agents</t>
  </si>
  <si>
    <t>Menuiserie</t>
  </si>
  <si>
    <t>Serrurerie</t>
  </si>
  <si>
    <t>Plomberie</t>
  </si>
  <si>
    <t>Plâtrerie-peinture</t>
  </si>
  <si>
    <t>Coûts de main d'œuvre</t>
  </si>
  <si>
    <t>Montant</t>
  </si>
  <si>
    <t>Sports</t>
  </si>
  <si>
    <t>Cultes</t>
  </si>
  <si>
    <t>Social et culture</t>
  </si>
  <si>
    <t>Administration</t>
  </si>
  <si>
    <t>Bâtiments techniques</t>
  </si>
  <si>
    <t>Coût horaire</t>
  </si>
  <si>
    <t>Electricité</t>
  </si>
  <si>
    <t>Gaz</t>
  </si>
  <si>
    <t>Fuel</t>
  </si>
  <si>
    <t>Eau</t>
  </si>
  <si>
    <t>Téléphone</t>
  </si>
  <si>
    <t>Internet</t>
  </si>
  <si>
    <t>Montants des factures</t>
  </si>
  <si>
    <t>Périodicité</t>
  </si>
  <si>
    <t>Mensuelle</t>
  </si>
  <si>
    <t>Bi-mensuelle</t>
  </si>
  <si>
    <t>Bâtiments</t>
  </si>
  <si>
    <t>BA001 - Hôtel de ville</t>
  </si>
  <si>
    <t>BA003 - Groupe scolaire des Cerisiers</t>
  </si>
  <si>
    <t>Fluide ou énergie</t>
  </si>
  <si>
    <t>Date de facture</t>
  </si>
  <si>
    <t>Montant abonnement</t>
  </si>
  <si>
    <t>Montant taxes</t>
  </si>
  <si>
    <t>Montant consommations</t>
  </si>
  <si>
    <t>Ancien index</t>
  </si>
  <si>
    <t>Nouvel index</t>
  </si>
  <si>
    <t>Consommation</t>
  </si>
  <si>
    <t>Unité</t>
  </si>
  <si>
    <t>kw/h</t>
  </si>
  <si>
    <t>m3</t>
  </si>
  <si>
    <t>litres</t>
  </si>
  <si>
    <t>Début de période conso</t>
  </si>
  <si>
    <t>Fin de période conso</t>
  </si>
  <si>
    <t>Montant total</t>
  </si>
  <si>
    <t>Période</t>
  </si>
  <si>
    <t>Taux de TVA abonnement</t>
  </si>
  <si>
    <t>Taux de TVA consommations</t>
  </si>
  <si>
    <t>Semestrielle</t>
  </si>
  <si>
    <t>Nombre de points de conso</t>
  </si>
  <si>
    <t>Quantités consommées</t>
  </si>
  <si>
    <t>Unités</t>
  </si>
  <si>
    <t>Factures Fluides et Energies</t>
  </si>
  <si>
    <t>Factures fluides et énergies</t>
  </si>
  <si>
    <t>(Tous)</t>
  </si>
  <si>
    <t>Total général</t>
  </si>
  <si>
    <t>2014-01 / 2014-01</t>
  </si>
  <si>
    <t>2014-02 / 2014-02</t>
  </si>
  <si>
    <t>2014-03 / 2014-03</t>
  </si>
  <si>
    <t>2014-04 / 2014-04</t>
  </si>
  <si>
    <t>Agent</t>
  </si>
  <si>
    <t>Catégorie de bâtiment</t>
  </si>
  <si>
    <t>Enseignement</t>
  </si>
  <si>
    <t>Trimestrielle</t>
  </si>
  <si>
    <t>Annuelle</t>
  </si>
  <si>
    <t>Périodicités</t>
  </si>
  <si>
    <t>Nombre par an</t>
  </si>
  <si>
    <t>Compteur</t>
  </si>
  <si>
    <t>BA140002 - Travaux 2014 groupe scolaire des Cerisiers</t>
  </si>
  <si>
    <t>BA1400047</t>
  </si>
  <si>
    <t>Changement des fenêtres école des Cerisiers</t>
  </si>
  <si>
    <t>Dépose des fenêtres école des Cerisiers</t>
  </si>
  <si>
    <t>Pose des nouvelles fenêtres école des Cerisiers (accompagnement entreprise Dubois)</t>
  </si>
  <si>
    <t>Dubois Portes et Fenêtres</t>
  </si>
  <si>
    <t>1 rue Jean Moulin</t>
  </si>
  <si>
    <t>BAT140039</t>
  </si>
  <si>
    <t>Fenêtres PVC école des Cerisiers</t>
  </si>
  <si>
    <t>Kits fenêtres doubles PVC complets</t>
  </si>
  <si>
    <t>Ligne</t>
  </si>
  <si>
    <t>Désignation</t>
  </si>
  <si>
    <t>Prix unitaire HT</t>
  </si>
  <si>
    <t>Totaux</t>
  </si>
  <si>
    <t>Adresse fournisseur</t>
  </si>
  <si>
    <t>Ville fournisseur</t>
  </si>
  <si>
    <t>Imputation_Complète</t>
  </si>
  <si>
    <t>Montant TVA</t>
  </si>
  <si>
    <r>
      <t xml:space="preserve">Adresser la facture à : Monsieur le Maire, Ville d'Excel-les-Bains, Hôtel de Ville - 1 rue Charles de Gaulle - 69999 Excel-les-Bains, avec un RIB + n° SIRET avec la première facture. </t>
    </r>
    <r>
      <rPr>
        <b/>
        <sz val="10"/>
        <color theme="1"/>
        <rFont val="Arial"/>
        <family val="2"/>
      </rPr>
      <t>Mention du numéro de bon de commande obligatoire</t>
    </r>
  </si>
  <si>
    <t>Courriel</t>
  </si>
  <si>
    <t>bernard.marchall@excel-les-bains.fr</t>
  </si>
  <si>
    <t>04.78.23.22.21</t>
  </si>
  <si>
    <t>04.78.23.22.22</t>
  </si>
  <si>
    <t>04.78.23.22.23</t>
  </si>
  <si>
    <t>Bon de commande n°</t>
  </si>
  <si>
    <t>gerard.monin@excel-les-bains.fr</t>
  </si>
  <si>
    <t>patrice.caratini@excel-les-bains.ff</t>
  </si>
  <si>
    <t>Disques meulage</t>
  </si>
  <si>
    <t>Meuleuse Ricoh AKD285</t>
  </si>
  <si>
    <t>Masques de protection</t>
  </si>
  <si>
    <t>Nombre de lignes</t>
  </si>
  <si>
    <t>BAT140040</t>
  </si>
  <si>
    <t>Founitures diverses</t>
  </si>
  <si>
    <t>Gestion du Patrimoine bâti</t>
  </si>
  <si>
    <t>Interventions</t>
  </si>
  <si>
    <t>Opérations</t>
  </si>
  <si>
    <t>Agents</t>
  </si>
  <si>
    <t>Services</t>
  </si>
  <si>
    <t>Entêtes de commande</t>
  </si>
  <si>
    <t>Lignes de commande</t>
  </si>
  <si>
    <t>Fournisseurs</t>
  </si>
  <si>
    <t>Chantiers</t>
  </si>
  <si>
    <t>Imputations</t>
  </si>
  <si>
    <t>Fluides et énergies</t>
  </si>
  <si>
    <t>Factures</t>
  </si>
  <si>
    <t>Points de consommations</t>
  </si>
  <si>
    <t>Types de fluides et énergies</t>
  </si>
  <si>
    <t>Catégories de bâtiment</t>
  </si>
  <si>
    <t>Paramètres</t>
  </si>
  <si>
    <t>TEC / 020 / 60223 / BAT</t>
  </si>
  <si>
    <t>Constantes du classeur</t>
  </si>
  <si>
    <t>Entêtes commandes</t>
  </si>
  <si>
    <t>Lignes commandes</t>
  </si>
  <si>
    <t>Points de consommation</t>
  </si>
  <si>
    <t>BA1400048</t>
  </si>
  <si>
    <t>Réfection classe CM2 école des Myosotis</t>
  </si>
  <si>
    <t>Réfection du bureau de monsieur le maire</t>
  </si>
  <si>
    <t>19/9/2014</t>
  </si>
  <si>
    <t>Bons de commande</t>
  </si>
  <si>
    <t>BA1400049</t>
  </si>
  <si>
    <t>Réfection classe CM1 école des Myosotis</t>
  </si>
  <si>
    <t>30/8/2014</t>
  </si>
  <si>
    <t>Nettoyage plafond classe CM1 école des Myosotis</t>
  </si>
  <si>
    <t>Afficher formules ?</t>
  </si>
  <si>
    <t>Afficher feuilles ?</t>
  </si>
  <si>
    <t>Appliquer plein écran ?</t>
  </si>
  <si>
    <t>Afficher entêtes ?</t>
  </si>
  <si>
    <t>Attention, la couleur retenue ne plaît pas à l'enseignante. La voir pour choisir la nouvelle teinte</t>
  </si>
  <si>
    <t>Diverses fournitures de peinture</t>
  </si>
  <si>
    <t>Bricodépôt</t>
  </si>
  <si>
    <t>4 rue des Vignes</t>
  </si>
  <si>
    <t>S'adresser de préférence au beau-père de Patrice Caratini</t>
  </si>
  <si>
    <t>ZI les Forges</t>
  </si>
  <si>
    <t>CHOPARD</t>
  </si>
  <si>
    <t>Pierre</t>
  </si>
  <si>
    <t>pierre.chopard@excel-les-bains.fr</t>
  </si>
  <si>
    <t>04.78.23.22.24</t>
  </si>
  <si>
    <t>BA140003</t>
  </si>
  <si>
    <t>Programme de réfection de l'hôtel de ville</t>
  </si>
  <si>
    <t>Sections budgétaires</t>
  </si>
  <si>
    <t>FOUADM</t>
  </si>
  <si>
    <t>Fournitures Administratives</t>
  </si>
  <si>
    <t>ADM</t>
  </si>
  <si>
    <t>Sacs poubelle 30 litres pour la mairie</t>
  </si>
  <si>
    <t>Cellule de travail</t>
  </si>
  <si>
    <t>Chaudière n°2</t>
  </si>
  <si>
    <t>Police</t>
  </si>
  <si>
    <t>BA004</t>
  </si>
  <si>
    <t>Police municipale</t>
  </si>
  <si>
    <t>12 avenue Nyphaurme</t>
  </si>
  <si>
    <t>2014-05 / 2014-05</t>
  </si>
  <si>
    <t>Brosses à reluire</t>
  </si>
  <si>
    <t>TEC / 20 / 60223 / ADM</t>
  </si>
  <si>
    <t>...</t>
  </si>
  <si>
    <t>…</t>
  </si>
  <si>
    <t>... - ...</t>
  </si>
  <si>
    <t>.</t>
  </si>
  <si>
    <t>20/08/2014</t>
  </si>
  <si>
    <t>... ...</t>
  </si>
  <si>
    <t>Valeurs par défaut des listes</t>
  </si>
  <si>
    <t>1ère ligne dans la feuille</t>
  </si>
  <si>
    <t>Rubriques</t>
  </si>
  <si>
    <t>Quitter</t>
  </si>
  <si>
    <t>BA005</t>
  </si>
  <si>
    <t>Ateliers municipaux</t>
  </si>
  <si>
    <t>414 avenue de la République</t>
  </si>
  <si>
    <t>Valeur par défaut</t>
  </si>
  <si>
    <t>Taux</t>
  </si>
  <si>
    <t>Valeur par défaut :</t>
  </si>
  <si>
    <t>CHOPARD Pierre</t>
  </si>
  <si>
    <t>MONIN Gérard</t>
  </si>
  <si>
    <t>CARATINI Patrice</t>
  </si>
  <si>
    <t>TEC / 020 / 2183 / BAT</t>
  </si>
  <si>
    <t>Pistolets joint silicone</t>
  </si>
</sst>
</file>

<file path=xl/styles.xml><?xml version="1.0" encoding="utf-8"?>
<styleSheet xmlns="http://schemas.openxmlformats.org/spreadsheetml/2006/main">
  <numFmts count="10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40C]_-;\-* #,##0.00\ [$€-40C]_-;_-* &quot;-&quot;??\ [$€-40C]_-;_-@_-"/>
    <numFmt numFmtId="167" formatCode="#,##0;&quot;&quot;;&quot;&quot;"/>
    <numFmt numFmtId="168" formatCode="#,##0&quot; m²&quot;"/>
    <numFmt numFmtId="169" formatCode="#,##0&quot; m²&quot;;\-#,##0&quot; m²&quot;;&quot;&quot;"/>
    <numFmt numFmtId="170" formatCode="_-* #,##0\ _€_-;\-* #,##0\ _€_-;_-* &quot;-&quot;??\ _€_-;_-@_-"/>
    <numFmt numFmtId="171" formatCode="00000"/>
    <numFmt numFmtId="172" formatCode="000"/>
    <numFmt numFmtId="173" formatCode="#,##0.00\ &quot;€&quot;"/>
  </numFmts>
  <fonts count="20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2"/>
      <color theme="6" tint="-0.499984740745262"/>
      <name val="Arial"/>
      <family val="2"/>
    </font>
    <font>
      <sz val="10"/>
      <color theme="0"/>
      <name val="Arial"/>
      <family val="2"/>
    </font>
    <font>
      <sz val="12"/>
      <color theme="1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6"/>
      <color theme="5" tint="-0.249977111117893"/>
      <name val="Arial"/>
      <family val="2"/>
    </font>
    <font>
      <i/>
      <sz val="10"/>
      <color theme="9" tint="-0.249977111117893"/>
      <name val="Arial"/>
      <family val="2"/>
    </font>
    <font>
      <b/>
      <i/>
      <sz val="10"/>
      <color rgb="FF006600"/>
      <name val="Arial"/>
      <family val="2"/>
    </font>
    <font>
      <b/>
      <sz val="14"/>
      <color theme="9" tint="-0.249977111117893"/>
      <name val="Cooper Black"/>
      <family val="1"/>
    </font>
    <font>
      <i/>
      <sz val="10"/>
      <color theme="9" tint="-0.249977111117893"/>
      <name val="Cooper Black"/>
      <family val="1"/>
    </font>
    <font>
      <sz val="10"/>
      <name val="Arial"/>
      <family val="2"/>
    </font>
    <font>
      <b/>
      <i/>
      <sz val="10"/>
      <color rgb="FFFF0000"/>
      <name val="Arial"/>
      <family val="2"/>
    </font>
    <font>
      <sz val="10"/>
      <color theme="0" tint="-4.9989318521683403E-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83">
    <xf numFmtId="0" fontId="0" fillId="0" borderId="0" xfId="0"/>
    <xf numFmtId="0" fontId="3" fillId="0" borderId="0" xfId="0" applyFont="1" applyAlignment="1">
      <alignment vertical="top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 vertical="top" wrapText="1"/>
    </xf>
    <xf numFmtId="0" fontId="2" fillId="3" borderId="0" xfId="0" applyFont="1" applyFill="1" applyAlignment="1">
      <alignment vertical="top" wrapText="1"/>
    </xf>
    <xf numFmtId="0" fontId="0" fillId="0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1" applyFont="1"/>
    <xf numFmtId="164" fontId="2" fillId="3" borderId="0" xfId="1" applyFont="1" applyFill="1" applyAlignment="1">
      <alignment horizontal="center" vertical="top" wrapText="1"/>
    </xf>
    <xf numFmtId="164" fontId="0" fillId="3" borderId="0" xfId="1" applyFont="1" applyFill="1"/>
    <xf numFmtId="10" fontId="0" fillId="0" borderId="0" xfId="2" applyNumberFormat="1" applyFont="1" applyAlignment="1">
      <alignment horizontal="center"/>
    </xf>
    <xf numFmtId="10" fontId="2" fillId="3" borderId="0" xfId="2" applyNumberFormat="1" applyFont="1" applyFill="1" applyAlignment="1">
      <alignment horizontal="center" vertical="top" wrapText="1"/>
    </xf>
    <xf numFmtId="10" fontId="0" fillId="3" borderId="0" xfId="2" applyNumberFormat="1" applyFont="1" applyFill="1" applyAlignment="1">
      <alignment horizontal="center"/>
    </xf>
    <xf numFmtId="2" fontId="2" fillId="3" borderId="0" xfId="0" applyNumberFormat="1" applyFont="1" applyFill="1" applyAlignment="1">
      <alignment horizontal="center" vertical="top" wrapText="1"/>
    </xf>
    <xf numFmtId="2" fontId="0" fillId="0" borderId="0" xfId="0" applyNumberFormat="1" applyAlignment="1">
      <alignment horizontal="center"/>
    </xf>
    <xf numFmtId="2" fontId="0" fillId="3" borderId="0" xfId="0" applyNumberFormat="1" applyFill="1" applyAlignment="1">
      <alignment horizontal="center"/>
    </xf>
    <xf numFmtId="0" fontId="2" fillId="3" borderId="0" xfId="0" applyFont="1" applyFill="1" applyAlignment="1">
      <alignment horizontal="left" vertical="top" wrapText="1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166" fontId="0" fillId="0" borderId="0" xfId="0" applyNumberFormat="1" applyAlignment="1">
      <alignment horizontal="center"/>
    </xf>
    <xf numFmtId="166" fontId="2" fillId="3" borderId="0" xfId="0" applyNumberFormat="1" applyFont="1" applyFill="1" applyAlignment="1">
      <alignment horizontal="center" vertical="top" wrapText="1"/>
    </xf>
    <xf numFmtId="166" fontId="0" fillId="3" borderId="0" xfId="0" applyNumberFormat="1" applyFill="1" applyAlignment="1">
      <alignment horizontal="center"/>
    </xf>
    <xf numFmtId="166" fontId="0" fillId="0" borderId="0" xfId="0" applyNumberFormat="1" applyAlignment="1">
      <alignment horizontal="left"/>
    </xf>
    <xf numFmtId="166" fontId="2" fillId="3" borderId="0" xfId="0" applyNumberFormat="1" applyFont="1" applyFill="1" applyAlignment="1">
      <alignment horizontal="left" vertical="top" wrapText="1"/>
    </xf>
    <xf numFmtId="166" fontId="0" fillId="3" borderId="0" xfId="0" applyNumberFormat="1" applyFill="1" applyAlignment="1">
      <alignment horizontal="left"/>
    </xf>
    <xf numFmtId="166" fontId="0" fillId="0" borderId="0" xfId="0" applyNumberFormat="1"/>
    <xf numFmtId="0" fontId="0" fillId="0" borderId="0" xfId="0" applyAlignment="1"/>
    <xf numFmtId="0" fontId="0" fillId="3" borderId="0" xfId="0" applyFill="1" applyAlignment="1"/>
    <xf numFmtId="164" fontId="2" fillId="3" borderId="0" xfId="1" applyFont="1" applyFill="1" applyAlignment="1">
      <alignment horizontal="left" vertical="top" wrapText="1"/>
    </xf>
    <xf numFmtId="166" fontId="0" fillId="0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167" fontId="2" fillId="3" borderId="0" xfId="0" applyNumberFormat="1" applyFont="1" applyFill="1" applyAlignment="1">
      <alignment horizontal="center" vertical="top" wrapText="1"/>
    </xf>
    <xf numFmtId="167" fontId="0" fillId="3" borderId="0" xfId="0" applyNumberFormat="1" applyFill="1" applyAlignment="1">
      <alignment horizontal="center"/>
    </xf>
    <xf numFmtId="0" fontId="0" fillId="0" borderId="0" xfId="0" applyAlignment="1">
      <alignment vertical="top" wrapText="1"/>
    </xf>
    <xf numFmtId="0" fontId="6" fillId="3" borderId="0" xfId="0" applyFont="1" applyFill="1" applyAlignment="1">
      <alignment vertical="top" wrapText="1"/>
    </xf>
    <xf numFmtId="0" fontId="6" fillId="3" borderId="0" xfId="0" applyFont="1" applyFill="1" applyAlignment="1">
      <alignment horizontal="left" vertical="top" wrapText="1"/>
    </xf>
    <xf numFmtId="166" fontId="6" fillId="3" borderId="0" xfId="0" applyNumberFormat="1" applyFont="1" applyFill="1" applyAlignment="1">
      <alignment horizontal="center" vertical="top" wrapText="1"/>
    </xf>
    <xf numFmtId="166" fontId="0" fillId="3" borderId="0" xfId="0" applyNumberFormat="1" applyFill="1"/>
    <xf numFmtId="168" fontId="0" fillId="0" borderId="0" xfId="0" applyNumberFormat="1" applyAlignment="1">
      <alignment horizontal="center"/>
    </xf>
    <xf numFmtId="168" fontId="2" fillId="3" borderId="0" xfId="0" applyNumberFormat="1" applyFont="1" applyFill="1" applyAlignment="1">
      <alignment horizontal="center" vertical="top" wrapText="1"/>
    </xf>
    <xf numFmtId="168" fontId="0" fillId="3" borderId="0" xfId="0" applyNumberFormat="1" applyFill="1" applyAlignment="1">
      <alignment horizontal="center"/>
    </xf>
    <xf numFmtId="169" fontId="0" fillId="0" borderId="0" xfId="0" applyNumberFormat="1"/>
    <xf numFmtId="169" fontId="6" fillId="3" borderId="0" xfId="0" applyNumberFormat="1" applyFont="1" applyFill="1" applyAlignment="1">
      <alignment horizontal="center" vertical="top" wrapText="1"/>
    </xf>
    <xf numFmtId="169" fontId="0" fillId="0" borderId="0" xfId="0" applyNumberFormat="1" applyAlignment="1">
      <alignment horizontal="center"/>
    </xf>
    <xf numFmtId="169" fontId="0" fillId="3" borderId="0" xfId="0" applyNumberFormat="1" applyFill="1" applyAlignment="1">
      <alignment horizontal="center"/>
    </xf>
    <xf numFmtId="167" fontId="0" fillId="0" borderId="0" xfId="0" applyNumberFormat="1"/>
    <xf numFmtId="167" fontId="6" fillId="3" borderId="0" xfId="0" applyNumberFormat="1" applyFont="1" applyFill="1" applyAlignment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2" fontId="0" fillId="0" borderId="0" xfId="0" applyNumberFormat="1" applyAlignment="1">
      <alignment horizontal="center" vertical="top"/>
    </xf>
    <xf numFmtId="170" fontId="0" fillId="0" borderId="0" xfId="3" applyNumberFormat="1" applyFont="1" applyAlignment="1">
      <alignment horizontal="center"/>
    </xf>
    <xf numFmtId="0" fontId="0" fillId="0" borderId="0" xfId="0" applyAlignment="1">
      <alignment horizontal="left" vertical="top"/>
    </xf>
    <xf numFmtId="166" fontId="0" fillId="0" borderId="0" xfId="0" applyNumberFormat="1" applyAlignment="1">
      <alignment horizontal="center" vertical="top"/>
    </xf>
    <xf numFmtId="167" fontId="0" fillId="0" borderId="0" xfId="0" applyNumberFormat="1" applyAlignment="1">
      <alignment horizontal="left" vertical="top"/>
    </xf>
    <xf numFmtId="170" fontId="0" fillId="0" borderId="0" xfId="3" applyNumberFormat="1" applyFont="1" applyAlignment="1">
      <alignment horizontal="left" vertical="top"/>
    </xf>
    <xf numFmtId="167" fontId="2" fillId="3" borderId="0" xfId="0" applyNumberFormat="1" applyFont="1" applyFill="1" applyAlignment="1">
      <alignment horizontal="left" vertical="top" wrapText="1"/>
    </xf>
    <xf numFmtId="167" fontId="0" fillId="3" borderId="0" xfId="0" applyNumberFormat="1" applyFill="1" applyAlignment="1">
      <alignment horizontal="left" vertical="top"/>
    </xf>
    <xf numFmtId="14" fontId="2" fillId="3" borderId="0" xfId="0" applyNumberFormat="1" applyFont="1" applyFill="1" applyAlignment="1">
      <alignment horizontal="center" vertical="top" wrapText="1"/>
    </xf>
    <xf numFmtId="14" fontId="0" fillId="3" borderId="0" xfId="0" applyNumberFormat="1" applyFill="1" applyAlignment="1">
      <alignment horizontal="center" vertical="top"/>
    </xf>
    <xf numFmtId="170" fontId="0" fillId="0" borderId="0" xfId="3" applyNumberFormat="1" applyFont="1" applyAlignment="1">
      <alignment horizontal="left" vertical="top" wrapText="1"/>
    </xf>
    <xf numFmtId="170" fontId="0" fillId="0" borderId="0" xfId="3" applyNumberFormat="1" applyFont="1" applyAlignment="1">
      <alignment horizontal="center" vertical="top" wrapText="1"/>
    </xf>
    <xf numFmtId="0" fontId="0" fillId="3" borderId="0" xfId="0" applyFill="1" applyAlignment="1">
      <alignment horizontal="center" vertical="top"/>
    </xf>
    <xf numFmtId="165" fontId="2" fillId="3" borderId="0" xfId="3" applyFont="1" applyFill="1" applyAlignment="1">
      <alignment horizontal="center" vertical="top" wrapText="1"/>
    </xf>
    <xf numFmtId="165" fontId="0" fillId="0" borderId="0" xfId="3" applyFont="1" applyFill="1" applyAlignment="1">
      <alignment horizontal="center"/>
    </xf>
    <xf numFmtId="165" fontId="0" fillId="3" borderId="0" xfId="3" applyFont="1" applyFill="1" applyAlignment="1">
      <alignment horizontal="center"/>
    </xf>
    <xf numFmtId="165" fontId="0" fillId="0" borderId="0" xfId="3" applyFont="1"/>
    <xf numFmtId="0" fontId="0" fillId="0" borderId="0" xfId="0" pivotButton="1"/>
    <xf numFmtId="4" fontId="0" fillId="0" borderId="0" xfId="0" applyNumberFormat="1"/>
    <xf numFmtId="0" fontId="0" fillId="0" borderId="0" xfId="0" pivotButton="1" applyAlignment="1">
      <alignment vertical="top" wrapText="1"/>
    </xf>
    <xf numFmtId="167" fontId="0" fillId="3" borderId="0" xfId="0" applyNumberFormat="1" applyFill="1" applyAlignment="1">
      <alignment horizontal="center" vertical="top"/>
    </xf>
    <xf numFmtId="0" fontId="0" fillId="0" borderId="0" xfId="0" applyFill="1" applyAlignment="1">
      <alignment vertical="top" wrapText="1"/>
    </xf>
    <xf numFmtId="166" fontId="0" fillId="0" borderId="0" xfId="0" applyNumberFormat="1" applyAlignment="1">
      <alignment horizontal="left" vertical="top" wrapText="1"/>
    </xf>
    <xf numFmtId="0" fontId="0" fillId="0" borderId="0" xfId="0" applyAlignment="1">
      <alignment vertical="center"/>
    </xf>
    <xf numFmtId="166" fontId="0" fillId="0" borderId="0" xfId="0" applyNumberFormat="1" applyFill="1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4" fontId="0" fillId="2" borderId="1" xfId="0" applyNumberFormat="1" applyFill="1" applyBorder="1" applyAlignment="1" applyProtection="1">
      <alignment horizontal="center" vertical="top"/>
      <protection locked="0"/>
    </xf>
    <xf numFmtId="14" fontId="0" fillId="2" borderId="1" xfId="0" applyNumberFormat="1" applyFill="1" applyBorder="1" applyAlignment="1" applyProtection="1">
      <alignment vertical="top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166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168" fontId="0" fillId="2" borderId="1" xfId="0" applyNumberFormat="1" applyFill="1" applyBorder="1" applyAlignment="1" applyProtection="1">
      <alignment horizontal="center" vertical="top"/>
      <protection locked="0"/>
    </xf>
    <xf numFmtId="168" fontId="0" fillId="2" borderId="1" xfId="0" quotePrefix="1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1" xfId="0" quotePrefix="1" applyFill="1" applyBorder="1" applyAlignment="1" applyProtection="1">
      <alignment horizontal="left" vertical="top" wrapText="1"/>
      <protection locked="0"/>
    </xf>
    <xf numFmtId="166" fontId="0" fillId="2" borderId="0" xfId="0" applyNumberFormat="1" applyFill="1" applyAlignment="1" applyProtection="1">
      <alignment horizontal="left"/>
      <protection locked="0"/>
    </xf>
    <xf numFmtId="170" fontId="0" fillId="2" borderId="1" xfId="3" applyNumberFormat="1" applyFont="1" applyFill="1" applyBorder="1" applyAlignment="1" applyProtection="1">
      <alignment horizontal="left" vertical="top"/>
      <protection locked="0"/>
    </xf>
    <xf numFmtId="170" fontId="0" fillId="2" borderId="1" xfId="3" applyNumberFormat="1" applyFont="1" applyFill="1" applyBorder="1" applyAlignment="1" applyProtection="1">
      <alignment horizontal="center" vertical="top"/>
      <protection locked="0"/>
    </xf>
    <xf numFmtId="170" fontId="0" fillId="2" borderId="1" xfId="3" applyNumberFormat="1" applyFont="1" applyFill="1" applyBorder="1" applyAlignment="1" applyProtection="1">
      <alignment horizontal="left"/>
      <protection locked="0"/>
    </xf>
    <xf numFmtId="170" fontId="0" fillId="2" borderId="1" xfId="3" applyNumberFormat="1" applyFont="1" applyFill="1" applyBorder="1" applyAlignment="1" applyProtection="1">
      <alignment horizontal="left" vertical="top" wrapText="1"/>
      <protection locked="0"/>
    </xf>
    <xf numFmtId="14" fontId="0" fillId="2" borderId="1" xfId="3" applyNumberFormat="1" applyFont="1" applyFill="1" applyBorder="1" applyAlignment="1" applyProtection="1">
      <alignment horizontal="center" vertical="top" wrapText="1"/>
      <protection locked="0"/>
    </xf>
    <xf numFmtId="170" fontId="0" fillId="2" borderId="1" xfId="3" applyNumberFormat="1" applyFont="1" applyFill="1" applyBorder="1" applyAlignment="1" applyProtection="1">
      <alignment horizontal="center" vertical="top" wrapText="1"/>
      <protection locked="0"/>
    </xf>
    <xf numFmtId="10" fontId="0" fillId="2" borderId="1" xfId="2" applyNumberFormat="1" applyFont="1" applyFill="1" applyBorder="1" applyAlignment="1" applyProtection="1">
      <alignment horizontal="center" vertical="top" wrapText="1"/>
      <protection locked="0"/>
    </xf>
    <xf numFmtId="166" fontId="0" fillId="2" borderId="2" xfId="0" applyNumberFormat="1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center"/>
      <protection locked="0"/>
    </xf>
    <xf numFmtId="166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3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Protection="1">
      <protection locked="0"/>
    </xf>
    <xf numFmtId="0" fontId="0" fillId="0" borderId="0" xfId="0" applyFill="1" applyBorder="1" applyProtection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2" borderId="1" xfId="1" applyFont="1" applyFill="1" applyBorder="1"/>
    <xf numFmtId="10" fontId="0" fillId="2" borderId="1" xfId="2" applyNumberFormat="1" applyFont="1" applyFill="1" applyBorder="1" applyAlignment="1">
      <alignment horizontal="center"/>
    </xf>
    <xf numFmtId="166" fontId="10" fillId="2" borderId="1" xfId="4" applyNumberFormat="1" applyFill="1" applyBorder="1" applyAlignment="1" applyProtection="1">
      <alignment horizontal="center"/>
      <protection locked="0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0" fontId="0" fillId="5" borderId="0" xfId="2" applyNumberFormat="1" applyFont="1" applyFill="1" applyAlignment="1">
      <alignment horizontal="center" vertical="center"/>
    </xf>
    <xf numFmtId="166" fontId="0" fillId="5" borderId="0" xfId="0" applyNumberFormat="1" applyFill="1" applyAlignment="1">
      <alignment horizontal="right" vertical="center"/>
    </xf>
    <xf numFmtId="0" fontId="0" fillId="5" borderId="0" xfId="0" applyFill="1"/>
    <xf numFmtId="0" fontId="2" fillId="5" borderId="0" xfId="0" applyFont="1" applyFill="1" applyAlignment="1">
      <alignment horizontal="center" vertical="top" wrapText="1"/>
    </xf>
    <xf numFmtId="0" fontId="11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center"/>
    </xf>
    <xf numFmtId="166" fontId="0" fillId="5" borderId="0" xfId="0" applyNumberFormat="1" applyFill="1" applyAlignment="1">
      <alignment horizontal="center"/>
    </xf>
    <xf numFmtId="10" fontId="0" fillId="5" borderId="0" xfId="2" applyNumberFormat="1" applyFont="1" applyFill="1" applyAlignment="1">
      <alignment horizontal="center"/>
    </xf>
    <xf numFmtId="166" fontId="0" fillId="5" borderId="0" xfId="0" applyNumberFormat="1" applyFill="1" applyAlignment="1">
      <alignment horizontal="right"/>
    </xf>
    <xf numFmtId="166" fontId="0" fillId="5" borderId="1" xfId="0" applyNumberForma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left" vertical="center" wrapText="1"/>
    </xf>
    <xf numFmtId="0" fontId="3" fillId="5" borderId="8" xfId="0" applyFont="1" applyFill="1" applyBorder="1" applyAlignment="1">
      <alignment horizontal="center" vertical="top" wrapText="1"/>
    </xf>
    <xf numFmtId="0" fontId="3" fillId="5" borderId="9" xfId="0" applyFont="1" applyFill="1" applyBorder="1" applyAlignment="1">
      <alignment horizontal="center" vertical="top" wrapText="1"/>
    </xf>
    <xf numFmtId="166" fontId="3" fillId="5" borderId="9" xfId="0" applyNumberFormat="1" applyFont="1" applyFill="1" applyBorder="1" applyAlignment="1">
      <alignment horizontal="center" vertical="top" wrapText="1"/>
    </xf>
    <xf numFmtId="10" fontId="3" fillId="5" borderId="9" xfId="2" applyNumberFormat="1" applyFont="1" applyFill="1" applyBorder="1" applyAlignment="1">
      <alignment horizontal="center" vertical="top" wrapText="1"/>
    </xf>
    <xf numFmtId="166" fontId="3" fillId="5" borderId="10" xfId="0" applyNumberFormat="1" applyFont="1" applyFill="1" applyBorder="1" applyAlignment="1">
      <alignment horizontal="center" vertical="top" wrapText="1"/>
    </xf>
    <xf numFmtId="0" fontId="3" fillId="5" borderId="0" xfId="0" applyFont="1" applyFill="1" applyAlignment="1">
      <alignment vertical="top" wrapText="1"/>
    </xf>
    <xf numFmtId="0" fontId="0" fillId="5" borderId="5" xfId="0" applyFill="1" applyBorder="1" applyAlignment="1">
      <alignment horizontal="center" vertical="top"/>
    </xf>
    <xf numFmtId="0" fontId="0" fillId="5" borderId="6" xfId="0" applyFill="1" applyBorder="1" applyAlignment="1">
      <alignment horizontal="center" vertical="top"/>
    </xf>
    <xf numFmtId="166" fontId="0" fillId="5" borderId="6" xfId="0" applyNumberFormat="1" applyFill="1" applyBorder="1" applyAlignment="1">
      <alignment horizontal="center" vertical="top"/>
    </xf>
    <xf numFmtId="10" fontId="0" fillId="5" borderId="6" xfId="2" applyNumberFormat="1" applyFont="1" applyFill="1" applyBorder="1" applyAlignment="1">
      <alignment horizontal="center" vertical="top"/>
    </xf>
    <xf numFmtId="164" fontId="0" fillId="5" borderId="6" xfId="1" applyFont="1" applyFill="1" applyBorder="1" applyAlignment="1">
      <alignment horizontal="center" vertical="top"/>
    </xf>
    <xf numFmtId="166" fontId="0" fillId="5" borderId="7" xfId="0" applyNumberFormat="1" applyFill="1" applyBorder="1" applyAlignment="1">
      <alignment horizontal="center" vertical="top"/>
    </xf>
    <xf numFmtId="0" fontId="0" fillId="5" borderId="0" xfId="0" applyFill="1" applyAlignment="1">
      <alignment vertical="top"/>
    </xf>
    <xf numFmtId="0" fontId="0" fillId="5" borderId="3" xfId="0" applyFill="1" applyBorder="1" applyAlignment="1">
      <alignment horizontal="center" vertical="top"/>
    </xf>
    <xf numFmtId="0" fontId="0" fillId="5" borderId="11" xfId="0" applyFill="1" applyBorder="1" applyAlignment="1">
      <alignment horizontal="center" vertical="top"/>
    </xf>
    <xf numFmtId="0" fontId="3" fillId="5" borderId="9" xfId="0" applyFont="1" applyFill="1" applyBorder="1" applyAlignment="1">
      <alignment horizontal="center" vertical="center"/>
    </xf>
    <xf numFmtId="166" fontId="3" fillId="5" borderId="9" xfId="0" applyNumberFormat="1" applyFont="1" applyFill="1" applyBorder="1" applyAlignment="1">
      <alignment horizontal="center" vertical="center"/>
    </xf>
    <xf numFmtId="166" fontId="3" fillId="5" borderId="10" xfId="0" applyNumberFormat="1" applyFont="1" applyFill="1" applyBorder="1" applyAlignment="1">
      <alignment horizontal="center" vertical="center"/>
    </xf>
    <xf numFmtId="0" fontId="3" fillId="5" borderId="0" xfId="0" applyFont="1" applyFill="1" applyAlignment="1">
      <alignment vertical="center"/>
    </xf>
    <xf numFmtId="164" fontId="0" fillId="5" borderId="0" xfId="0" applyNumberFormat="1" applyFill="1"/>
    <xf numFmtId="0" fontId="5" fillId="5" borderId="0" xfId="0" applyFont="1" applyFill="1" applyAlignment="1">
      <alignment vertical="center"/>
    </xf>
    <xf numFmtId="164" fontId="0" fillId="5" borderId="0" xfId="1" applyFont="1" applyFill="1" applyAlignment="1">
      <alignment horizontal="center" vertical="center"/>
    </xf>
    <xf numFmtId="2" fontId="0" fillId="5" borderId="0" xfId="1" applyNumberFormat="1" applyFont="1" applyFill="1" applyAlignment="1">
      <alignment horizontal="center" vertical="center"/>
    </xf>
    <xf numFmtId="164" fontId="0" fillId="5" borderId="0" xfId="1" applyFont="1" applyFill="1" applyAlignment="1">
      <alignment horizontal="center"/>
    </xf>
    <xf numFmtId="2" fontId="0" fillId="5" borderId="0" xfId="0" applyNumberFormat="1" applyFill="1" applyAlignment="1">
      <alignment horizontal="center"/>
    </xf>
    <xf numFmtId="164" fontId="0" fillId="5" borderId="0" xfId="1" applyFont="1" applyFill="1"/>
    <xf numFmtId="164" fontId="0" fillId="5" borderId="0" xfId="1" applyFont="1" applyFill="1" applyAlignment="1">
      <alignment vertical="center"/>
    </xf>
    <xf numFmtId="14" fontId="5" fillId="5" borderId="0" xfId="0" applyNumberFormat="1" applyFont="1" applyFill="1" applyAlignment="1">
      <alignment horizontal="center" vertical="center"/>
    </xf>
    <xf numFmtId="0" fontId="5" fillId="5" borderId="0" xfId="0" applyFont="1" applyFill="1" applyAlignment="1">
      <alignment horizontal="left" vertical="center"/>
    </xf>
    <xf numFmtId="167" fontId="0" fillId="5" borderId="0" xfId="0" applyNumberFormat="1" applyFill="1" applyAlignment="1">
      <alignment horizontal="left" vertical="center"/>
    </xf>
    <xf numFmtId="165" fontId="0" fillId="5" borderId="0" xfId="3" applyFont="1" applyFill="1" applyAlignment="1">
      <alignment horizontal="left" vertical="center"/>
    </xf>
    <xf numFmtId="164" fontId="0" fillId="5" borderId="0" xfId="1" applyFont="1" applyFill="1" applyAlignment="1">
      <alignment horizontal="left" vertical="center"/>
    </xf>
    <xf numFmtId="0" fontId="0" fillId="5" borderId="0" xfId="0" applyFill="1" applyAlignment="1">
      <alignment horizontal="left" vertical="center"/>
    </xf>
    <xf numFmtId="167" fontId="0" fillId="5" borderId="0" xfId="0" applyNumberFormat="1" applyFill="1" applyAlignment="1">
      <alignment horizontal="center" vertical="center"/>
    </xf>
    <xf numFmtId="0" fontId="5" fillId="5" borderId="0" xfId="0" applyFont="1" applyFill="1"/>
    <xf numFmtId="167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170" fontId="0" fillId="5" borderId="0" xfId="3" applyNumberFormat="1" applyFont="1" applyFill="1" applyAlignment="1">
      <alignment horizontal="center"/>
    </xf>
    <xf numFmtId="167" fontId="0" fillId="5" borderId="0" xfId="0" applyNumberFormat="1" applyFill="1" applyAlignment="1">
      <alignment vertical="center"/>
    </xf>
    <xf numFmtId="169" fontId="0" fillId="5" borderId="0" xfId="0" applyNumberFormat="1" applyFill="1" applyAlignment="1">
      <alignment vertical="center"/>
    </xf>
    <xf numFmtId="166" fontId="5" fillId="5" borderId="0" xfId="0" applyNumberFormat="1" applyFont="1" applyFill="1" applyAlignment="1">
      <alignment vertical="center"/>
    </xf>
    <xf numFmtId="167" fontId="0" fillId="5" borderId="0" xfId="0" applyNumberFormat="1" applyFill="1"/>
    <xf numFmtId="169" fontId="0" fillId="5" borderId="0" xfId="0" applyNumberFormat="1" applyFill="1"/>
    <xf numFmtId="166" fontId="0" fillId="5" borderId="0" xfId="0" applyNumberFormat="1" applyFill="1"/>
    <xf numFmtId="167" fontId="0" fillId="5" borderId="0" xfId="0" applyNumberFormat="1" applyFill="1" applyAlignment="1">
      <alignment horizontal="left" vertical="top"/>
    </xf>
    <xf numFmtId="167" fontId="0" fillId="5" borderId="0" xfId="0" applyNumberFormat="1" applyFill="1" applyAlignment="1">
      <alignment horizontal="center" vertical="top"/>
    </xf>
    <xf numFmtId="170" fontId="0" fillId="5" borderId="0" xfId="3" applyNumberFormat="1" applyFont="1" applyFill="1" applyAlignment="1">
      <alignment horizontal="left" vertical="top"/>
    </xf>
    <xf numFmtId="170" fontId="0" fillId="5" borderId="0" xfId="3" applyNumberFormat="1" applyFont="1" applyFill="1" applyAlignment="1">
      <alignment horizontal="center" vertical="top"/>
    </xf>
    <xf numFmtId="165" fontId="0" fillId="5" borderId="0" xfId="3" applyFont="1" applyFill="1" applyAlignment="1">
      <alignment horizontal="center"/>
    </xf>
    <xf numFmtId="165" fontId="0" fillId="5" borderId="0" xfId="3" applyFont="1" applyFill="1" applyAlignment="1">
      <alignment horizontal="center" vertical="center"/>
    </xf>
    <xf numFmtId="164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164" fontId="0" fillId="2" borderId="1" xfId="1" applyFont="1" applyFill="1" applyBorder="1" applyAlignment="1" applyProtection="1">
      <alignment vertical="top"/>
      <protection locked="0"/>
    </xf>
    <xf numFmtId="10" fontId="0" fillId="2" borderId="1" xfId="2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horizontal="center" vertical="top"/>
    </xf>
    <xf numFmtId="164" fontId="0" fillId="2" borderId="1" xfId="1" applyFont="1" applyFill="1" applyBorder="1" applyAlignment="1">
      <alignment vertical="top"/>
    </xf>
    <xf numFmtId="10" fontId="0" fillId="2" borderId="1" xfId="2" applyNumberFormat="1" applyFont="1" applyFill="1" applyBorder="1" applyAlignment="1">
      <alignment horizontal="center" vertical="top"/>
    </xf>
    <xf numFmtId="166" fontId="0" fillId="0" borderId="0" xfId="0" applyNumberFormat="1" applyAlignment="1">
      <alignment vertical="top" wrapText="1"/>
    </xf>
    <xf numFmtId="171" fontId="5" fillId="5" borderId="0" xfId="0" applyNumberFormat="1" applyFont="1" applyFill="1" applyAlignment="1">
      <alignment horizontal="center" vertical="center"/>
    </xf>
    <xf numFmtId="171" fontId="0" fillId="0" borderId="0" xfId="0" applyNumberFormat="1" applyAlignment="1">
      <alignment horizontal="center"/>
    </xf>
    <xf numFmtId="171" fontId="2" fillId="3" borderId="0" xfId="0" applyNumberFormat="1" applyFont="1" applyFill="1" applyAlignment="1">
      <alignment horizontal="center" vertical="top" wrapText="1"/>
    </xf>
    <xf numFmtId="171" fontId="0" fillId="2" borderId="1" xfId="0" applyNumberFormat="1" applyFill="1" applyBorder="1" applyAlignment="1" applyProtection="1">
      <alignment horizontal="center" vertical="top" wrapText="1"/>
      <protection locked="0"/>
    </xf>
    <xf numFmtId="171" fontId="0" fillId="3" borderId="0" xfId="0" applyNumberFormat="1" applyFill="1" applyAlignment="1">
      <alignment horizontal="center"/>
    </xf>
    <xf numFmtId="166" fontId="0" fillId="5" borderId="0" xfId="0" applyNumberFormat="1" applyFill="1" applyAlignment="1">
      <alignment horizontal="left" vertical="center"/>
    </xf>
    <xf numFmtId="172" fontId="0" fillId="5" borderId="0" xfId="0" applyNumberFormat="1" applyFill="1" applyAlignment="1">
      <alignment horizontal="center" vertical="center"/>
    </xf>
    <xf numFmtId="172" fontId="0" fillId="0" borderId="0" xfId="0" applyNumberFormat="1" applyAlignment="1">
      <alignment horizontal="center"/>
    </xf>
    <xf numFmtId="172" fontId="2" fillId="3" borderId="0" xfId="0" applyNumberFormat="1" applyFont="1" applyFill="1" applyAlignment="1">
      <alignment horizontal="center" vertical="top" wrapText="1"/>
    </xf>
    <xf numFmtId="172" fontId="0" fillId="2" borderId="1" xfId="0" quotePrefix="1" applyNumberFormat="1" applyFill="1" applyBorder="1" applyAlignment="1" applyProtection="1">
      <alignment horizontal="center"/>
      <protection locked="0"/>
    </xf>
    <xf numFmtId="172" fontId="0" fillId="3" borderId="0" xfId="0" applyNumberFormat="1" applyFill="1" applyAlignment="1">
      <alignment horizontal="center"/>
    </xf>
    <xf numFmtId="0" fontId="17" fillId="2" borderId="0" xfId="0" applyFont="1" applyFill="1" applyAlignment="1" applyProtection="1">
      <alignment horizontal="center"/>
      <protection locked="0"/>
    </xf>
    <xf numFmtId="14" fontId="0" fillId="0" borderId="1" xfId="3" applyNumberFormat="1" applyFont="1" applyFill="1" applyBorder="1" applyAlignment="1" applyProtection="1">
      <alignment horizontal="center" vertical="top" wrapText="1"/>
    </xf>
    <xf numFmtId="0" fontId="0" fillId="2" borderId="0" xfId="0" applyFill="1" applyAlignment="1">
      <alignment vertical="center" wrapText="1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vertical="center" wrapText="1"/>
    </xf>
    <xf numFmtId="0" fontId="13" fillId="2" borderId="0" xfId="0" applyFont="1" applyFill="1" applyAlignment="1">
      <alignment vertical="center" wrapText="1"/>
    </xf>
    <xf numFmtId="0" fontId="2" fillId="4" borderId="1" xfId="0" applyFont="1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2" fillId="4" borderId="0" xfId="0" applyFont="1" applyFill="1" applyAlignment="1" applyProtection="1">
      <alignment vertical="top"/>
    </xf>
    <xf numFmtId="0" fontId="0" fillId="4" borderId="0" xfId="0" applyFill="1" applyProtection="1"/>
    <xf numFmtId="0" fontId="0" fillId="0" borderId="0" xfId="0" applyAlignment="1" applyProtection="1">
      <alignment vertical="top"/>
    </xf>
    <xf numFmtId="0" fontId="6" fillId="4" borderId="0" xfId="0" applyFont="1" applyFill="1" applyAlignment="1" applyProtection="1">
      <alignment vertical="top" wrapText="1"/>
    </xf>
    <xf numFmtId="0" fontId="6" fillId="3" borderId="0" xfId="0" applyFont="1" applyFill="1" applyAlignment="1" applyProtection="1">
      <alignment vertical="top"/>
    </xf>
    <xf numFmtId="0" fontId="6" fillId="3" borderId="0" xfId="0" applyFont="1" applyFill="1" applyAlignment="1" applyProtection="1">
      <alignment horizontal="center" vertical="top"/>
    </xf>
    <xf numFmtId="0" fontId="0" fillId="0" borderId="0" xfId="0" applyProtection="1"/>
    <xf numFmtId="14" fontId="6" fillId="3" borderId="0" xfId="0" applyNumberFormat="1" applyFont="1" applyFill="1" applyAlignment="1" applyProtection="1">
      <alignment horizontal="left" vertical="top"/>
    </xf>
    <xf numFmtId="14" fontId="6" fillId="3" borderId="0" xfId="0" applyNumberFormat="1" applyFont="1" applyFill="1" applyAlignment="1" applyProtection="1">
      <alignment horizontal="center" vertical="top"/>
    </xf>
    <xf numFmtId="166" fontId="6" fillId="3" borderId="0" xfId="0" applyNumberFormat="1" applyFont="1" applyFill="1" applyAlignment="1" applyProtection="1">
      <alignment horizontal="center" vertical="top"/>
    </xf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/>
    </xf>
    <xf numFmtId="0" fontId="0" fillId="0" borderId="0" xfId="0" applyAlignment="1" applyProtection="1">
      <alignment vertical="top" wrapText="1"/>
    </xf>
    <xf numFmtId="0" fontId="6" fillId="3" borderId="0" xfId="0" applyFont="1" applyFill="1" applyProtection="1"/>
    <xf numFmtId="14" fontId="0" fillId="3" borderId="0" xfId="0" applyNumberFormat="1" applyFill="1" applyAlignment="1" applyProtection="1">
      <alignment horizontal="center"/>
    </xf>
    <xf numFmtId="14" fontId="0" fillId="3" borderId="0" xfId="0" applyNumberFormat="1" applyFill="1" applyProtection="1"/>
    <xf numFmtId="166" fontId="0" fillId="3" borderId="0" xfId="0" applyNumberFormat="1" applyFill="1" applyAlignment="1" applyProtection="1">
      <alignment horizontal="center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2" fillId="4" borderId="0" xfId="0" applyFont="1" applyFill="1" applyAlignment="1" applyProtection="1">
      <alignment horizontal="left" vertical="top"/>
    </xf>
    <xf numFmtId="166" fontId="0" fillId="2" borderId="1" xfId="0" applyNumberFormat="1" applyFill="1" applyBorder="1" applyAlignment="1" applyProtection="1">
      <protection locked="0"/>
    </xf>
    <xf numFmtId="14" fontId="6" fillId="3" borderId="0" xfId="0" applyNumberFormat="1" applyFont="1" applyFill="1" applyBorder="1" applyAlignment="1" applyProtection="1">
      <alignment horizontal="center" vertical="top"/>
    </xf>
    <xf numFmtId="17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0" xfId="0" applyFill="1" applyBorder="1" applyAlignment="1" applyProtection="1">
      <alignment vertical="top" wrapText="1"/>
    </xf>
    <xf numFmtId="168" fontId="0" fillId="5" borderId="0" xfId="3" applyNumberFormat="1" applyFont="1" applyFill="1" applyAlignment="1">
      <alignment horizontal="center" vertical="center"/>
    </xf>
    <xf numFmtId="14" fontId="19" fillId="3" borderId="0" xfId="0" applyNumberFormat="1" applyFont="1" applyFill="1" applyAlignment="1" applyProtection="1">
      <alignment horizontal="left"/>
    </xf>
    <xf numFmtId="14" fontId="19" fillId="3" borderId="0" xfId="0" applyNumberFormat="1" applyFont="1" applyFill="1" applyAlignment="1" applyProtection="1">
      <alignment horizontal="left"/>
      <protection locked="0"/>
    </xf>
    <xf numFmtId="14" fontId="19" fillId="3" borderId="0" xfId="0" applyNumberFormat="1" applyFont="1" applyFill="1" applyAlignment="1" applyProtection="1">
      <alignment horizontal="center"/>
      <protection locked="0"/>
    </xf>
    <xf numFmtId="0" fontId="6" fillId="3" borderId="0" xfId="0" applyFont="1" applyFill="1" applyAlignment="1" applyProtection="1">
      <alignment horizontal="center"/>
      <protection locked="0"/>
    </xf>
    <xf numFmtId="173" fontId="0" fillId="5" borderId="0" xfId="1" applyNumberFormat="1" applyFont="1" applyFill="1" applyAlignment="1">
      <alignment vertical="center"/>
    </xf>
    <xf numFmtId="173" fontId="0" fillId="0" borderId="0" xfId="1" applyNumberFormat="1" applyFont="1"/>
    <xf numFmtId="173" fontId="2" fillId="3" borderId="0" xfId="1" applyNumberFormat="1" applyFont="1" applyFill="1" applyAlignment="1">
      <alignment vertical="top" wrapText="1"/>
    </xf>
    <xf numFmtId="173" fontId="0" fillId="2" borderId="1" xfId="1" applyNumberFormat="1" applyFont="1" applyFill="1" applyBorder="1" applyAlignment="1" applyProtection="1">
      <alignment vertical="top"/>
      <protection locked="0"/>
    </xf>
    <xf numFmtId="173" fontId="0" fillId="3" borderId="0" xfId="1" applyNumberFormat="1" applyFont="1" applyFill="1"/>
    <xf numFmtId="173" fontId="0" fillId="2" borderId="1" xfId="1" applyNumberFormat="1" applyFont="1" applyFill="1" applyBorder="1" applyAlignment="1">
      <alignment vertical="top"/>
    </xf>
    <xf numFmtId="173" fontId="0" fillId="2" borderId="1" xfId="1" applyNumberFormat="1" applyFont="1" applyFill="1" applyBorder="1"/>
    <xf numFmtId="173" fontId="2" fillId="3" borderId="0" xfId="1" applyNumberFormat="1" applyFont="1" applyFill="1" applyAlignment="1">
      <alignment horizontal="center" vertical="top" wrapText="1"/>
    </xf>
    <xf numFmtId="173" fontId="0" fillId="0" borderId="0" xfId="1" applyNumberFormat="1" applyFont="1" applyAlignment="1">
      <alignment vertical="top"/>
    </xf>
    <xf numFmtId="166" fontId="0" fillId="5" borderId="0" xfId="1" applyNumberFormat="1" applyFont="1" applyFill="1" applyAlignment="1">
      <alignment horizontal="center" vertical="center"/>
    </xf>
    <xf numFmtId="166" fontId="0" fillId="5" borderId="0" xfId="1" applyNumberFormat="1" applyFont="1" applyFill="1" applyAlignment="1">
      <alignment horizontal="center"/>
    </xf>
    <xf numFmtId="166" fontId="2" fillId="3" borderId="0" xfId="1" applyNumberFormat="1" applyFont="1" applyFill="1" applyAlignment="1">
      <alignment horizontal="center" vertical="top" wrapText="1"/>
    </xf>
    <xf numFmtId="166" fontId="0" fillId="0" borderId="0" xfId="1" applyNumberFormat="1" applyFont="1" applyAlignment="1">
      <alignment horizontal="center" vertical="top"/>
    </xf>
    <xf numFmtId="166" fontId="0" fillId="3" borderId="0" xfId="1" applyNumberFormat="1" applyFont="1" applyFill="1" applyAlignment="1">
      <alignment horizontal="center"/>
    </xf>
    <xf numFmtId="166" fontId="0" fillId="0" borderId="0" xfId="1" applyNumberFormat="1" applyFont="1" applyAlignment="1">
      <alignment horizontal="center"/>
    </xf>
    <xf numFmtId="166" fontId="0" fillId="5" borderId="0" xfId="1" applyNumberFormat="1" applyFont="1" applyFill="1"/>
    <xf numFmtId="166" fontId="0" fillId="0" borderId="0" xfId="1" applyNumberFormat="1" applyFont="1" applyAlignment="1">
      <alignment vertical="top"/>
    </xf>
    <xf numFmtId="166" fontId="0" fillId="3" borderId="0" xfId="1" applyNumberFormat="1" applyFont="1" applyFill="1"/>
    <xf numFmtId="166" fontId="0" fillId="0" borderId="0" xfId="1" applyNumberFormat="1" applyFont="1"/>
    <xf numFmtId="166" fontId="0" fillId="0" borderId="0" xfId="0" applyNumberFormat="1" applyAlignment="1">
      <alignment vertical="top"/>
    </xf>
    <xf numFmtId="166" fontId="2" fillId="3" borderId="0" xfId="1" applyNumberFormat="1" applyFont="1" applyFill="1" applyAlignment="1">
      <alignment vertical="top" wrapText="1"/>
    </xf>
    <xf numFmtId="166" fontId="0" fillId="5" borderId="0" xfId="1" applyNumberFormat="1" applyFont="1" applyFill="1" applyAlignment="1">
      <alignment vertical="center"/>
    </xf>
    <xf numFmtId="166" fontId="0" fillId="5" borderId="0" xfId="1" applyNumberFormat="1" applyFont="1" applyFill="1" applyAlignment="1">
      <alignment horizontal="left" vertical="center"/>
    </xf>
    <xf numFmtId="166" fontId="0" fillId="0" borderId="0" xfId="1" applyNumberFormat="1" applyFont="1" applyAlignment="1">
      <alignment horizontal="left"/>
    </xf>
    <xf numFmtId="166" fontId="0" fillId="2" borderId="1" xfId="1" applyNumberFormat="1" applyFont="1" applyFill="1" applyBorder="1" applyAlignment="1" applyProtection="1">
      <alignment vertical="top" wrapText="1"/>
      <protection locked="0"/>
    </xf>
    <xf numFmtId="166" fontId="0" fillId="3" borderId="0" xfId="1" applyNumberFormat="1" applyFont="1" applyFill="1" applyAlignment="1">
      <alignment horizontal="left"/>
    </xf>
    <xf numFmtId="166" fontId="0" fillId="2" borderId="1" xfId="1" applyNumberFormat="1" applyFont="1" applyFill="1" applyBorder="1" applyAlignment="1" applyProtection="1">
      <alignment horizontal="center" vertical="top" wrapText="1"/>
      <protection locked="0"/>
    </xf>
    <xf numFmtId="166" fontId="0" fillId="2" borderId="1" xfId="1" applyNumberFormat="1" applyFont="1" applyFill="1" applyBorder="1" applyAlignment="1" applyProtection="1">
      <alignment horizontal="left" vertical="top" wrapText="1"/>
      <protection locked="0"/>
    </xf>
    <xf numFmtId="166" fontId="0" fillId="0" borderId="0" xfId="1" applyNumberFormat="1" applyFont="1" applyAlignment="1">
      <alignment horizontal="left" vertical="top" wrapText="1"/>
    </xf>
    <xf numFmtId="165" fontId="19" fillId="3" borderId="0" xfId="3" applyFont="1" applyFill="1" applyAlignment="1" applyProtection="1">
      <alignment horizontal="center"/>
      <protection locked="0"/>
    </xf>
    <xf numFmtId="0" fontId="0" fillId="0" borderId="0" xfId="0" applyFill="1" applyProtection="1"/>
    <xf numFmtId="0" fontId="14" fillId="2" borderId="0" xfId="0" applyFont="1" applyFill="1" applyAlignment="1">
      <alignment horizontal="center" vertical="center" wrapText="1"/>
    </xf>
    <xf numFmtId="0" fontId="18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66" fontId="9" fillId="5" borderId="0" xfId="0" applyNumberFormat="1" applyFont="1" applyFill="1" applyAlignment="1">
      <alignment horizontal="right" vertical="center"/>
    </xf>
    <xf numFmtId="166" fontId="7" fillId="5" borderId="0" xfId="0" applyNumberFormat="1" applyFont="1" applyFill="1" applyAlignment="1">
      <alignment horizontal="right" vertical="center"/>
    </xf>
    <xf numFmtId="0" fontId="8" fillId="5" borderId="0" xfId="0" applyFont="1" applyFill="1" applyAlignment="1">
      <alignment horizontal="right" vertical="center"/>
    </xf>
    <xf numFmtId="166" fontId="9" fillId="2" borderId="0" xfId="0" applyNumberFormat="1" applyFont="1" applyFill="1" applyAlignment="1" applyProtection="1">
      <alignment horizontal="center" vertical="center"/>
      <protection locked="0"/>
    </xf>
    <xf numFmtId="0" fontId="0" fillId="5" borderId="6" xfId="0" applyFill="1" applyBorder="1" applyAlignment="1">
      <alignment horizontal="left" vertical="top" wrapText="1"/>
    </xf>
    <xf numFmtId="0" fontId="0" fillId="5" borderId="0" xfId="0" applyFill="1" applyAlignment="1">
      <alignment horizontal="left" vertical="top"/>
    </xf>
    <xf numFmtId="0" fontId="0" fillId="5" borderId="4" xfId="0" applyFill="1" applyBorder="1" applyAlignment="1">
      <alignment horizontal="left" vertical="top"/>
    </xf>
    <xf numFmtId="0" fontId="3" fillId="5" borderId="13" xfId="0" applyFont="1" applyFill="1" applyBorder="1" applyAlignment="1">
      <alignment horizontal="left" vertical="center"/>
    </xf>
    <xf numFmtId="0" fontId="3" fillId="5" borderId="14" xfId="0" applyFont="1" applyFill="1" applyBorder="1" applyAlignment="1">
      <alignment horizontal="left" vertical="center"/>
    </xf>
    <xf numFmtId="0" fontId="3" fillId="5" borderId="12" xfId="0" applyFont="1" applyFill="1" applyBorder="1" applyAlignment="1">
      <alignment horizontal="left" vertical="center"/>
    </xf>
    <xf numFmtId="0" fontId="3" fillId="5" borderId="9" xfId="0" applyFont="1" applyFill="1" applyBorder="1" applyAlignment="1">
      <alignment horizontal="left" vertical="top" wrapText="1"/>
    </xf>
    <xf numFmtId="0" fontId="5" fillId="5" borderId="0" xfId="0" applyFont="1" applyFill="1" applyAlignment="1">
      <alignment horizontal="left" vertical="center" wrapText="1"/>
    </xf>
    <xf numFmtId="0" fontId="2" fillId="4" borderId="0" xfId="0" applyFont="1" applyFill="1" applyAlignment="1" applyProtection="1">
      <alignment horizontal="left" vertical="top"/>
    </xf>
  </cellXfs>
  <cellStyles count="5">
    <cellStyle name="Lien hypertexte" xfId="4" builtinId="8"/>
    <cellStyle name="Milliers" xfId="3" builtinId="3"/>
    <cellStyle name="Monétaire" xfId="1" builtinId="4"/>
    <cellStyle name="Normal" xfId="0" builtinId="0"/>
    <cellStyle name="Pourcentage" xfId="2" builtinId="5"/>
  </cellStyles>
  <dxfs count="36"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  <color rgb="FF006600"/>
      <color rgb="FF95B3D7"/>
      <color rgb="FFDCE6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 de patrimoine bâti V2.xlsm]Synthèse Consommations!Tableau croisé dynamique1</c:name>
    <c:fmtId val="0"/>
  </c:pivotSource>
  <c:chart>
    <c:title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ndard"/>
        <c:ser>
          <c:idx val="0"/>
          <c:order val="0"/>
          <c:tx>
            <c:strRef>
              <c:f>'Synthèse Consommations'!$B$6:$B$7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'Synthèse Consommations'!$A$8:$A$13</c:f>
              <c:strCache>
                <c:ptCount val="5"/>
                <c:pt idx="0">
                  <c:v>2014-01 / 2014-01</c:v>
                </c:pt>
                <c:pt idx="1">
                  <c:v>2014-02 / 2014-02</c:v>
                </c:pt>
                <c:pt idx="2">
                  <c:v>2014-03 / 2014-03</c:v>
                </c:pt>
                <c:pt idx="3">
                  <c:v>2014-04 / 2014-04</c:v>
                </c:pt>
                <c:pt idx="4">
                  <c:v>2014-05 / 2014-05</c:v>
                </c:pt>
              </c:strCache>
            </c:strRef>
          </c:cat>
          <c:val>
            <c:numRef>
              <c:f>'Synthèse Consommations'!$B$8:$B$13</c:f>
              <c:numCache>
                <c:formatCode>#,##0.00</c:formatCode>
                <c:ptCount val="5"/>
                <c:pt idx="0">
                  <c:v>300</c:v>
                </c:pt>
                <c:pt idx="1">
                  <c:v>250</c:v>
                </c:pt>
                <c:pt idx="2">
                  <c:v>410</c:v>
                </c:pt>
                <c:pt idx="3">
                  <c:v>310</c:v>
                </c:pt>
                <c:pt idx="4">
                  <c:v>130</c:v>
                </c:pt>
              </c:numCache>
            </c:numRef>
          </c:val>
        </c:ser>
        <c:shape val="cylinder"/>
        <c:axId val="67165184"/>
        <c:axId val="67179264"/>
        <c:axId val="66406144"/>
      </c:bar3DChart>
      <c:catAx>
        <c:axId val="67165184"/>
        <c:scaling>
          <c:orientation val="minMax"/>
        </c:scaling>
        <c:axPos val="b"/>
        <c:tickLblPos val="nextTo"/>
        <c:crossAx val="67179264"/>
        <c:crosses val="autoZero"/>
        <c:auto val="1"/>
        <c:lblAlgn val="ctr"/>
        <c:lblOffset val="100"/>
      </c:catAx>
      <c:valAx>
        <c:axId val="67179264"/>
        <c:scaling>
          <c:orientation val="minMax"/>
        </c:scaling>
        <c:axPos val="l"/>
        <c:majorGridlines/>
        <c:numFmt formatCode="#,##0.00" sourceLinked="1"/>
        <c:tickLblPos val="nextTo"/>
        <c:crossAx val="67165184"/>
        <c:crosses val="autoZero"/>
        <c:crossBetween val="between"/>
      </c:valAx>
      <c:serAx>
        <c:axId val="66406144"/>
        <c:scaling>
          <c:orientation val="minMax"/>
        </c:scaling>
        <c:axPos val="b"/>
        <c:tickLblPos val="nextTo"/>
        <c:crossAx val="67179264"/>
        <c:crosses val="autoZero"/>
      </c:serAx>
    </c:plotArea>
    <c:plotVisOnly val="1"/>
  </c:chart>
  <c:printSettings>
    <c:headerFooter/>
    <c:pageMargins b="0.75000000000000644" l="0.70000000000000062" r="0.70000000000000062" t="0.750000000000006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Agents!A1"/><Relationship Id="rId13" Type="http://schemas.openxmlformats.org/officeDocument/2006/relationships/image" Target="../media/image7.jpeg"/><Relationship Id="rId18" Type="http://schemas.openxmlformats.org/officeDocument/2006/relationships/hyperlink" Target="#'Factures Fluides et Energies'!A1"/><Relationship Id="rId26" Type="http://schemas.openxmlformats.org/officeDocument/2006/relationships/hyperlink" Target="#'Fluides et Energies'!A1"/><Relationship Id="rId3" Type="http://schemas.openxmlformats.org/officeDocument/2006/relationships/image" Target="../media/image2.png"/><Relationship Id="rId21" Type="http://schemas.openxmlformats.org/officeDocument/2006/relationships/image" Target="../media/image11.png"/><Relationship Id="rId34" Type="http://schemas.openxmlformats.org/officeDocument/2006/relationships/image" Target="../media/image18.png"/><Relationship Id="rId7" Type="http://schemas.openxmlformats.org/officeDocument/2006/relationships/image" Target="../media/image4.png"/><Relationship Id="rId12" Type="http://schemas.openxmlformats.org/officeDocument/2006/relationships/hyperlink" Target="#Fournisseurs!A1"/><Relationship Id="rId17" Type="http://schemas.openxmlformats.org/officeDocument/2006/relationships/image" Target="../media/image9.png"/><Relationship Id="rId25" Type="http://schemas.openxmlformats.org/officeDocument/2006/relationships/image" Target="../media/image13.png"/><Relationship Id="rId33" Type="http://schemas.openxmlformats.org/officeDocument/2006/relationships/image" Target="../media/image17.png"/><Relationship Id="rId2" Type="http://schemas.openxmlformats.org/officeDocument/2006/relationships/hyperlink" Target="#Op&#233;rations!A1"/><Relationship Id="rId16" Type="http://schemas.openxmlformats.org/officeDocument/2006/relationships/hyperlink" Target="#Imputations!A1"/><Relationship Id="rId20" Type="http://schemas.openxmlformats.org/officeDocument/2006/relationships/hyperlink" Target="#'Points de consommation'!A1"/><Relationship Id="rId29" Type="http://schemas.openxmlformats.org/officeDocument/2006/relationships/image" Target="../media/image15.png"/><Relationship Id="rId1" Type="http://schemas.openxmlformats.org/officeDocument/2006/relationships/image" Target="../media/image1.jpeg"/><Relationship Id="rId6" Type="http://schemas.openxmlformats.org/officeDocument/2006/relationships/hyperlink" Target="#'Lignes commandes'!A1"/><Relationship Id="rId11" Type="http://schemas.openxmlformats.org/officeDocument/2006/relationships/image" Target="../media/image6.png"/><Relationship Id="rId24" Type="http://schemas.openxmlformats.org/officeDocument/2006/relationships/hyperlink" Target="#'Ent&#234;tes commandes'!A1"/><Relationship Id="rId32" Type="http://schemas.openxmlformats.org/officeDocument/2006/relationships/hyperlink" Target="#Param&#232;tres!A1"/><Relationship Id="rId5" Type="http://schemas.openxmlformats.org/officeDocument/2006/relationships/image" Target="../media/image3.png"/><Relationship Id="rId15" Type="http://schemas.openxmlformats.org/officeDocument/2006/relationships/image" Target="../media/image8.png"/><Relationship Id="rId23" Type="http://schemas.openxmlformats.org/officeDocument/2006/relationships/image" Target="../media/image12.png"/><Relationship Id="rId28" Type="http://schemas.openxmlformats.org/officeDocument/2006/relationships/hyperlink" Target="#B&#226;timents!A1"/><Relationship Id="rId10" Type="http://schemas.openxmlformats.org/officeDocument/2006/relationships/hyperlink" Target="#'Bon de commande'!A1"/><Relationship Id="rId19" Type="http://schemas.openxmlformats.org/officeDocument/2006/relationships/image" Target="../media/image10.png"/><Relationship Id="rId31" Type="http://schemas.openxmlformats.org/officeDocument/2006/relationships/image" Target="../media/image16.png"/><Relationship Id="rId4" Type="http://schemas.openxmlformats.org/officeDocument/2006/relationships/hyperlink" Target="#Services!A1"/><Relationship Id="rId9" Type="http://schemas.openxmlformats.org/officeDocument/2006/relationships/image" Target="../media/image5.png"/><Relationship Id="rId14" Type="http://schemas.openxmlformats.org/officeDocument/2006/relationships/hyperlink" Target="#Chantiers!A1"/><Relationship Id="rId22" Type="http://schemas.openxmlformats.org/officeDocument/2006/relationships/hyperlink" Target="#Interventions!A1"/><Relationship Id="rId27" Type="http://schemas.openxmlformats.org/officeDocument/2006/relationships/image" Target="../media/image14.jpeg"/><Relationship Id="rId30" Type="http://schemas.openxmlformats.org/officeDocument/2006/relationships/hyperlink" Target="#'Cat&#233;gories de b&#226;timents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0.png"/><Relationship Id="rId7" Type="http://schemas.openxmlformats.org/officeDocument/2006/relationships/image" Target="../media/image24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3.png"/><Relationship Id="rId5" Type="http://schemas.openxmlformats.org/officeDocument/2006/relationships/image" Target="../media/image22.png"/><Relationship Id="rId4" Type="http://schemas.openxmlformats.org/officeDocument/2006/relationships/image" Target="../media/image2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5.jpeg"/><Relationship Id="rId2" Type="http://schemas.openxmlformats.org/officeDocument/2006/relationships/hyperlink" Target="#Accueil!A1"/><Relationship Id="rId1" Type="http://schemas.openxmlformats.org/officeDocument/2006/relationships/image" Target="../media/image1.jpeg"/><Relationship Id="rId4" Type="http://schemas.openxmlformats.org/officeDocument/2006/relationships/image" Target="../media/image26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23.png"/><Relationship Id="rId3" Type="http://schemas.openxmlformats.org/officeDocument/2006/relationships/image" Target="../media/image21.png"/><Relationship Id="rId7" Type="http://schemas.openxmlformats.org/officeDocument/2006/relationships/hyperlink" Target="#'Synth&#232;se Consommations'!A1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19.jpeg"/><Relationship Id="rId1" Type="http://schemas.openxmlformats.org/officeDocument/2006/relationships/hyperlink" Target="#Accueil!A1"/><Relationship Id="rId6" Type="http://schemas.openxmlformats.org/officeDocument/2006/relationships/image" Target="../media/image24.png"/><Relationship Id="rId5" Type="http://schemas.openxmlformats.org/officeDocument/2006/relationships/image" Target="../media/image20.png"/><Relationship Id="rId4" Type="http://schemas.openxmlformats.org/officeDocument/2006/relationships/image" Target="../media/image22.png"/></Relationships>
</file>

<file path=xl/drawings/_rels/drawing1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7.png"/><Relationship Id="rId2" Type="http://schemas.openxmlformats.org/officeDocument/2006/relationships/hyperlink" Target="#Accueil!A1"/><Relationship Id="rId1" Type="http://schemas.openxmlformats.org/officeDocument/2006/relationships/chart" Target="../charts/chart1.xml"/><Relationship Id="rId4" Type="http://schemas.openxmlformats.org/officeDocument/2006/relationships/image" Target="../media/image26.png"/></Relationships>
</file>

<file path=xl/drawings/_rels/drawing1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8.jpeg"/><Relationship Id="rId2" Type="http://schemas.openxmlformats.org/officeDocument/2006/relationships/image" Target="../media/image19.jpe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1838324</xdr:colOff>
      <xdr:row>9</xdr:row>
      <xdr:rowOff>1</xdr:rowOff>
    </xdr:from>
    <xdr:to>
      <xdr:col>17</xdr:col>
      <xdr:colOff>113015</xdr:colOff>
      <xdr:row>9</xdr:row>
      <xdr:rowOff>809625</xdr:rowOff>
    </xdr:to>
    <xdr:sp macro="" textlink="">
      <xdr:nvSpPr>
        <xdr:cNvPr id="30" name="Arrondir un rectangle avec un coin diagonal 29"/>
        <xdr:cNvSpPr/>
      </xdr:nvSpPr>
      <xdr:spPr>
        <a:xfrm>
          <a:off x="1838324" y="3895726"/>
          <a:ext cx="9580866" cy="809624"/>
        </a:xfrm>
        <a:prstGeom prst="round2DiagRect">
          <a:avLst/>
        </a:prstGeom>
        <a:ln/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800" b="1">
              <a:solidFill>
                <a:schemeClr val="accent6">
                  <a:lumMod val="75000"/>
                </a:schemeClr>
              </a:solidFill>
              <a:latin typeface="Arial Narrow" pitchFamily="34" charset="0"/>
            </a:rPr>
            <a:t>Tables de référence</a:t>
          </a:r>
        </a:p>
      </xdr:txBody>
    </xdr:sp>
    <xdr:clientData/>
  </xdr:twoCellAnchor>
  <xdr:twoCellAnchor>
    <xdr:from>
      <xdr:col>0</xdr:col>
      <xdr:colOff>1838324</xdr:colOff>
      <xdr:row>6</xdr:row>
      <xdr:rowOff>333375</xdr:rowOff>
    </xdr:from>
    <xdr:to>
      <xdr:col>17</xdr:col>
      <xdr:colOff>57150</xdr:colOff>
      <xdr:row>8</xdr:row>
      <xdr:rowOff>9525</xdr:rowOff>
    </xdr:to>
    <xdr:sp macro="" textlink="">
      <xdr:nvSpPr>
        <xdr:cNvPr id="29" name="Arrondir un rectangle avec un coin diagonal 28"/>
        <xdr:cNvSpPr/>
      </xdr:nvSpPr>
      <xdr:spPr>
        <a:xfrm>
          <a:off x="1838324" y="2686050"/>
          <a:ext cx="9525001" cy="828675"/>
        </a:xfrm>
        <a:prstGeom prst="round2DiagRect">
          <a:avLst/>
        </a:prstGeom>
        <a:ln/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800" b="1">
              <a:solidFill>
                <a:schemeClr val="tx2">
                  <a:lumMod val="60000"/>
                  <a:lumOff val="40000"/>
                </a:schemeClr>
              </a:solidFill>
              <a:latin typeface="Arial Narrow" pitchFamily="34" charset="0"/>
            </a:rPr>
            <a:t>Fluides et Energies</a:t>
          </a:r>
        </a:p>
      </xdr:txBody>
    </xdr:sp>
    <xdr:clientData/>
  </xdr:twoCellAnchor>
  <xdr:twoCellAnchor>
    <xdr:from>
      <xdr:col>1</xdr:col>
      <xdr:colOff>0</xdr:colOff>
      <xdr:row>2</xdr:row>
      <xdr:rowOff>95250</xdr:rowOff>
    </xdr:from>
    <xdr:to>
      <xdr:col>17</xdr:col>
      <xdr:colOff>29218</xdr:colOff>
      <xdr:row>4</xdr:row>
      <xdr:rowOff>66674</xdr:rowOff>
    </xdr:to>
    <xdr:sp macro="" textlink="">
      <xdr:nvSpPr>
        <xdr:cNvPr id="24" name="Arrondir un rectangle avec un coin diagonal 23"/>
        <xdr:cNvSpPr/>
      </xdr:nvSpPr>
      <xdr:spPr>
        <a:xfrm>
          <a:off x="1838325" y="457200"/>
          <a:ext cx="9497068" cy="857249"/>
        </a:xfrm>
        <a:prstGeom prst="round2DiagRect">
          <a:avLst/>
        </a:prstGeom>
        <a:ln/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800" b="1">
              <a:solidFill>
                <a:schemeClr val="accent2">
                  <a:lumMod val="75000"/>
                </a:schemeClr>
              </a:solidFill>
              <a:latin typeface="Arial Narrow" pitchFamily="34" charset="0"/>
            </a:rPr>
            <a:t>Interventions</a:t>
          </a:r>
        </a:p>
      </xdr:txBody>
    </xdr:sp>
    <xdr:clientData/>
  </xdr:twoCellAnchor>
  <xdr:twoCellAnchor>
    <xdr:from>
      <xdr:col>0</xdr:col>
      <xdr:colOff>1838323</xdr:colOff>
      <xdr:row>4</xdr:row>
      <xdr:rowOff>304801</xdr:rowOff>
    </xdr:from>
    <xdr:to>
      <xdr:col>17</xdr:col>
      <xdr:colOff>19906</xdr:colOff>
      <xdr:row>6</xdr:row>
      <xdr:rowOff>57150</xdr:rowOff>
    </xdr:to>
    <xdr:sp macro="" textlink="">
      <xdr:nvSpPr>
        <xdr:cNvPr id="28" name="Arrondir un rectangle avec un coin diagonal 27"/>
        <xdr:cNvSpPr/>
      </xdr:nvSpPr>
      <xdr:spPr>
        <a:xfrm>
          <a:off x="1838323" y="1552576"/>
          <a:ext cx="9487758" cy="857249"/>
        </a:xfrm>
        <a:prstGeom prst="round2DiagRect">
          <a:avLst/>
        </a:prstGeom>
        <a:ln/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800" b="1">
              <a:solidFill>
                <a:schemeClr val="accent3">
                  <a:lumMod val="75000"/>
                </a:schemeClr>
              </a:solidFill>
              <a:latin typeface="Arial Narrow" pitchFamily="34" charset="0"/>
            </a:rPr>
            <a:t>Commandes</a:t>
          </a:r>
        </a:p>
      </xdr:txBody>
    </xdr:sp>
    <xdr:clientData/>
  </xdr:twoCellAnchor>
  <xdr:twoCellAnchor editAs="oneCell">
    <xdr:from>
      <xdr:col>0</xdr:col>
      <xdr:colOff>190500</xdr:colOff>
      <xdr:row>2</xdr:row>
      <xdr:rowOff>85725</xdr:rowOff>
    </xdr:from>
    <xdr:to>
      <xdr:col>0</xdr:col>
      <xdr:colOff>1510513</xdr:colOff>
      <xdr:row>5</xdr:row>
      <xdr:rowOff>419099</xdr:rowOff>
    </xdr:to>
    <xdr:pic>
      <xdr:nvPicPr>
        <xdr:cNvPr id="2" name="Image 1" descr="Logo Excel-les-Bain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0" y="447675"/>
          <a:ext cx="1320013" cy="15620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371774</xdr:colOff>
      <xdr:row>3</xdr:row>
      <xdr:rowOff>38100</xdr:rowOff>
    </xdr:from>
    <xdr:to>
      <xdr:col>7</xdr:col>
      <xdr:colOff>162224</xdr:colOff>
      <xdr:row>4</xdr:row>
      <xdr:rowOff>19050</xdr:rowOff>
    </xdr:to>
    <xdr:pic>
      <xdr:nvPicPr>
        <xdr:cNvPr id="6" name="Image 5" descr="Icone_Opérations.png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200949" y="885825"/>
          <a:ext cx="742950" cy="742950"/>
        </a:xfrm>
        <a:prstGeom prst="rect">
          <a:avLst/>
        </a:prstGeom>
      </xdr:spPr>
    </xdr:pic>
    <xdr:clientData/>
  </xdr:twoCellAnchor>
  <xdr:twoCellAnchor editAs="oneCell">
    <xdr:from>
      <xdr:col>8</xdr:col>
      <xdr:colOff>342900</xdr:colOff>
      <xdr:row>3</xdr:row>
      <xdr:rowOff>19050</xdr:rowOff>
    </xdr:from>
    <xdr:to>
      <xdr:col>10</xdr:col>
      <xdr:colOff>143174</xdr:colOff>
      <xdr:row>4</xdr:row>
      <xdr:rowOff>9824</xdr:rowOff>
    </xdr:to>
    <xdr:pic>
      <xdr:nvPicPr>
        <xdr:cNvPr id="9" name="Image 8" descr="Icone_Services.png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600825" y="866775"/>
          <a:ext cx="752774" cy="752774"/>
        </a:xfrm>
        <a:prstGeom prst="rect">
          <a:avLst/>
        </a:prstGeom>
      </xdr:spPr>
    </xdr:pic>
    <xdr:clientData/>
  </xdr:twoCellAnchor>
  <xdr:twoCellAnchor editAs="oneCell">
    <xdr:from>
      <xdr:col>5</xdr:col>
      <xdr:colOff>390523</xdr:colOff>
      <xdr:row>5</xdr:row>
      <xdr:rowOff>47921</xdr:rowOff>
    </xdr:from>
    <xdr:to>
      <xdr:col>7</xdr:col>
      <xdr:colOff>104476</xdr:colOff>
      <xdr:row>5</xdr:row>
      <xdr:rowOff>714374</xdr:rowOff>
    </xdr:to>
    <xdr:pic>
      <xdr:nvPicPr>
        <xdr:cNvPr id="11" name="Image 10" descr="Icone_Lignes.png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5218507" y="2191046"/>
          <a:ext cx="666453" cy="666453"/>
        </a:xfrm>
        <a:prstGeom prst="rect">
          <a:avLst/>
        </a:prstGeom>
      </xdr:spPr>
    </xdr:pic>
    <xdr:clientData/>
  </xdr:twoCellAnchor>
  <xdr:twoCellAnchor editAs="oneCell">
    <xdr:from>
      <xdr:col>11</xdr:col>
      <xdr:colOff>397580</xdr:colOff>
      <xdr:row>3</xdr:row>
      <xdr:rowOff>85725</xdr:rowOff>
    </xdr:from>
    <xdr:to>
      <xdr:col>13</xdr:col>
      <xdr:colOff>104993</xdr:colOff>
      <xdr:row>3</xdr:row>
      <xdr:rowOff>733640</xdr:rowOff>
    </xdr:to>
    <xdr:pic>
      <xdr:nvPicPr>
        <xdr:cNvPr id="14" name="Image 13" descr="Icone_Agents.png">
          <a:hlinkClick xmlns:r="http://schemas.openxmlformats.org/officeDocument/2006/relationships" r:id="rId8"/>
        </xdr:cNvPr>
        <xdr:cNvPicPr>
          <a:picLocks noChangeAspect="1"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8112830" y="571500"/>
          <a:ext cx="659913" cy="647915"/>
        </a:xfrm>
        <a:prstGeom prst="rect">
          <a:avLst/>
        </a:prstGeom>
      </xdr:spPr>
    </xdr:pic>
    <xdr:clientData/>
  </xdr:twoCellAnchor>
  <xdr:twoCellAnchor editAs="oneCell">
    <xdr:from>
      <xdr:col>8</xdr:col>
      <xdr:colOff>370282</xdr:colOff>
      <xdr:row>5</xdr:row>
      <xdr:rowOff>41788</xdr:rowOff>
    </xdr:from>
    <xdr:to>
      <xdr:col>10</xdr:col>
      <xdr:colOff>135403</xdr:colOff>
      <xdr:row>5</xdr:row>
      <xdr:rowOff>744141</xdr:rowOff>
    </xdr:to>
    <xdr:pic>
      <xdr:nvPicPr>
        <xdr:cNvPr id="15" name="Image 14" descr="Icone_Bon.png">
          <a:hlinkClick xmlns:r="http://schemas.openxmlformats.org/officeDocument/2006/relationships" r:id="rId10"/>
        </xdr:cNvPr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6627016" y="2184913"/>
          <a:ext cx="717621" cy="702353"/>
        </a:xfrm>
        <a:prstGeom prst="rect">
          <a:avLst/>
        </a:prstGeom>
      </xdr:spPr>
    </xdr:pic>
    <xdr:clientData/>
  </xdr:twoCellAnchor>
  <xdr:twoCellAnchor editAs="oneCell">
    <xdr:from>
      <xdr:col>11</xdr:col>
      <xdr:colOff>361350</xdr:colOff>
      <xdr:row>5</xdr:row>
      <xdr:rowOff>58375</xdr:rowOff>
    </xdr:from>
    <xdr:to>
      <xdr:col>13</xdr:col>
      <xdr:colOff>90719</xdr:colOff>
      <xdr:row>5</xdr:row>
      <xdr:rowOff>744140</xdr:rowOff>
    </xdr:to>
    <xdr:pic>
      <xdr:nvPicPr>
        <xdr:cNvPr id="16" name="Image 15" descr="Icone_Fournisseurs.png">
          <a:hlinkClick xmlns:r="http://schemas.openxmlformats.org/officeDocument/2006/relationships" r:id="rId12"/>
        </xdr:cNvPr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8046834" y="2201500"/>
          <a:ext cx="681869" cy="685765"/>
        </a:xfrm>
        <a:prstGeom prst="rect">
          <a:avLst/>
        </a:prstGeom>
      </xdr:spPr>
    </xdr:pic>
    <xdr:clientData/>
  </xdr:twoCellAnchor>
  <xdr:twoCellAnchor editAs="oneCell">
    <xdr:from>
      <xdr:col>14</xdr:col>
      <xdr:colOff>375428</xdr:colOff>
      <xdr:row>3</xdr:row>
      <xdr:rowOff>1</xdr:rowOff>
    </xdr:from>
    <xdr:to>
      <xdr:col>16</xdr:col>
      <xdr:colOff>198887</xdr:colOff>
      <xdr:row>4</xdr:row>
      <xdr:rowOff>38101</xdr:rowOff>
    </xdr:to>
    <xdr:pic>
      <xdr:nvPicPr>
        <xdr:cNvPr id="17" name="Image 16" descr="Icone_Chantiers.png">
          <a:hlinkClick xmlns:r="http://schemas.openxmlformats.org/officeDocument/2006/relationships" r:id="rId14"/>
        </xdr:cNvPr>
        <xdr:cNvPicPr>
          <a:picLocks noChangeAspect="1"/>
        </xdr:cNvPicPr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9519428" y="485776"/>
          <a:ext cx="775959" cy="8001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388198</xdr:colOff>
      <xdr:row>5</xdr:row>
      <xdr:rowOff>51176</xdr:rowOff>
    </xdr:from>
    <xdr:to>
      <xdr:col>16</xdr:col>
      <xdr:colOff>96676</xdr:colOff>
      <xdr:row>5</xdr:row>
      <xdr:rowOff>708421</xdr:rowOff>
    </xdr:to>
    <xdr:pic>
      <xdr:nvPicPr>
        <xdr:cNvPr id="18" name="Image 17" descr="Icone_Imputations.png">
          <a:hlinkClick xmlns:r="http://schemas.openxmlformats.org/officeDocument/2006/relationships" r:id="rId16"/>
        </xdr:cNvPr>
        <xdr:cNvPicPr>
          <a:picLocks noChangeAspect="1"/>
        </xdr:cNvPicPr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9502432" y="2194301"/>
          <a:ext cx="660978" cy="657245"/>
        </a:xfrm>
        <a:prstGeom prst="rect">
          <a:avLst/>
        </a:prstGeom>
      </xdr:spPr>
    </xdr:pic>
    <xdr:clientData/>
  </xdr:twoCellAnchor>
  <xdr:twoCellAnchor editAs="oneCell">
    <xdr:from>
      <xdr:col>5</xdr:col>
      <xdr:colOff>394455</xdr:colOff>
      <xdr:row>7</xdr:row>
      <xdr:rowOff>85724</xdr:rowOff>
    </xdr:from>
    <xdr:to>
      <xdr:col>7</xdr:col>
      <xdr:colOff>102977</xdr:colOff>
      <xdr:row>7</xdr:row>
      <xdr:rowOff>776288</xdr:rowOff>
    </xdr:to>
    <xdr:pic>
      <xdr:nvPicPr>
        <xdr:cNvPr id="19" name="Image 18" descr="Icone_Factures.png">
          <a:hlinkClick xmlns:r="http://schemas.openxmlformats.org/officeDocument/2006/relationships" r:id="rId18"/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5252205" y="2781299"/>
          <a:ext cx="661022" cy="690564"/>
        </a:xfrm>
        <a:prstGeom prst="rect">
          <a:avLst/>
        </a:prstGeom>
      </xdr:spPr>
    </xdr:pic>
    <xdr:clientData/>
  </xdr:twoCellAnchor>
  <xdr:twoCellAnchor editAs="oneCell">
    <xdr:from>
      <xdr:col>8</xdr:col>
      <xdr:colOff>392907</xdr:colOff>
      <xdr:row>7</xdr:row>
      <xdr:rowOff>58341</xdr:rowOff>
    </xdr:from>
    <xdr:to>
      <xdr:col>10</xdr:col>
      <xdr:colOff>152686</xdr:colOff>
      <xdr:row>7</xdr:row>
      <xdr:rowOff>765343</xdr:rowOff>
    </xdr:to>
    <xdr:pic>
      <xdr:nvPicPr>
        <xdr:cNvPr id="20" name="Image 19" descr="Icone_Compteurs.png">
          <a:hlinkClick xmlns:r="http://schemas.openxmlformats.org/officeDocument/2006/relationships" r:id="rId20"/>
        </xdr:cNvPr>
        <xdr:cNvPicPr>
          <a:picLocks noChangeAspect="1"/>
        </xdr:cNvPicPr>
      </xdr:nvPicPr>
      <xdr:blipFill>
        <a:blip xmlns:r="http://schemas.openxmlformats.org/officeDocument/2006/relationships" r:embed="rId21" cstate="print"/>
        <a:stretch>
          <a:fillRect/>
        </a:stretch>
      </xdr:blipFill>
      <xdr:spPr>
        <a:xfrm>
          <a:off x="6679407" y="2753916"/>
          <a:ext cx="712279" cy="707002"/>
        </a:xfrm>
        <a:prstGeom prst="rect">
          <a:avLst/>
        </a:prstGeom>
      </xdr:spPr>
    </xdr:pic>
    <xdr:clientData/>
  </xdr:twoCellAnchor>
  <xdr:twoCellAnchor editAs="oneCell">
    <xdr:from>
      <xdr:col>2</xdr:col>
      <xdr:colOff>381051</xdr:colOff>
      <xdr:row>3</xdr:row>
      <xdr:rowOff>38099</xdr:rowOff>
    </xdr:from>
    <xdr:to>
      <xdr:col>4</xdr:col>
      <xdr:colOff>133351</xdr:colOff>
      <xdr:row>3</xdr:row>
      <xdr:rowOff>724640</xdr:rowOff>
    </xdr:to>
    <xdr:pic>
      <xdr:nvPicPr>
        <xdr:cNvPr id="21" name="Image 20" descr="Icone_Interventions.png">
          <a:hlinkClick xmlns:r="http://schemas.openxmlformats.org/officeDocument/2006/relationships" r:id="rId22"/>
        </xdr:cNvPr>
        <xdr:cNvPicPr>
          <a:picLocks noChangeAspect="1"/>
        </xdr:cNvPicPr>
      </xdr:nvPicPr>
      <xdr:blipFill>
        <a:blip xmlns:r="http://schemas.openxmlformats.org/officeDocument/2006/relationships" r:embed="rId23" cstate="print"/>
        <a:stretch>
          <a:fillRect/>
        </a:stretch>
      </xdr:blipFill>
      <xdr:spPr>
        <a:xfrm>
          <a:off x="3781476" y="885824"/>
          <a:ext cx="704800" cy="686541"/>
        </a:xfrm>
        <a:prstGeom prst="rect">
          <a:avLst/>
        </a:prstGeom>
      </xdr:spPr>
    </xdr:pic>
    <xdr:clientData/>
  </xdr:twoCellAnchor>
  <xdr:twoCellAnchor editAs="oneCell">
    <xdr:from>
      <xdr:col>2</xdr:col>
      <xdr:colOff>470297</xdr:colOff>
      <xdr:row>5</xdr:row>
      <xdr:rowOff>74063</xdr:rowOff>
    </xdr:from>
    <xdr:to>
      <xdr:col>4</xdr:col>
      <xdr:colOff>156685</xdr:colOff>
      <xdr:row>5</xdr:row>
      <xdr:rowOff>719858</xdr:rowOff>
    </xdr:to>
    <xdr:pic>
      <xdr:nvPicPr>
        <xdr:cNvPr id="22" name="Image 21" descr="Icone_Entetes.png">
          <a:hlinkClick xmlns:r="http://schemas.openxmlformats.org/officeDocument/2006/relationships" r:id="rId24"/>
        </xdr:cNvPr>
        <xdr:cNvPicPr>
          <a:picLocks noChangeAspect="1"/>
        </xdr:cNvPicPr>
      </xdr:nvPicPr>
      <xdr:blipFill>
        <a:blip xmlns:r="http://schemas.openxmlformats.org/officeDocument/2006/relationships" r:embed="rId25" cstate="print"/>
        <a:stretch>
          <a:fillRect/>
        </a:stretch>
      </xdr:blipFill>
      <xdr:spPr>
        <a:xfrm>
          <a:off x="3869531" y="2217188"/>
          <a:ext cx="638888" cy="645795"/>
        </a:xfrm>
        <a:prstGeom prst="rect">
          <a:avLst/>
        </a:prstGeom>
      </xdr:spPr>
    </xdr:pic>
    <xdr:clientData/>
  </xdr:twoCellAnchor>
  <xdr:twoCellAnchor editAs="oneCell">
    <xdr:from>
      <xdr:col>11</xdr:col>
      <xdr:colOff>381000</xdr:colOff>
      <xdr:row>7</xdr:row>
      <xdr:rowOff>84670</xdr:rowOff>
    </xdr:from>
    <xdr:to>
      <xdr:col>13</xdr:col>
      <xdr:colOff>66976</xdr:colOff>
      <xdr:row>7</xdr:row>
      <xdr:rowOff>714671</xdr:rowOff>
    </xdr:to>
    <xdr:pic>
      <xdr:nvPicPr>
        <xdr:cNvPr id="23" name="Image 22" descr="Icone_Energies.png">
          <a:hlinkClick xmlns:r="http://schemas.openxmlformats.org/officeDocument/2006/relationships" r:id="rId26"/>
        </xdr:cNvPr>
        <xdr:cNvPicPr>
          <a:picLocks noChangeAspect="1"/>
        </xdr:cNvPicPr>
      </xdr:nvPicPr>
      <xdr:blipFill>
        <a:blip xmlns:r="http://schemas.openxmlformats.org/officeDocument/2006/relationships" r:embed="rId27" cstate="print"/>
        <a:stretch>
          <a:fillRect/>
        </a:stretch>
      </xdr:blipFill>
      <xdr:spPr>
        <a:xfrm>
          <a:off x="8067675" y="3608920"/>
          <a:ext cx="638476" cy="630001"/>
        </a:xfrm>
        <a:prstGeom prst="rect">
          <a:avLst/>
        </a:prstGeom>
      </xdr:spPr>
    </xdr:pic>
    <xdr:clientData/>
  </xdr:twoCellAnchor>
  <xdr:twoCellAnchor editAs="oneCell">
    <xdr:from>
      <xdr:col>5</xdr:col>
      <xdr:colOff>342900</xdr:colOff>
      <xdr:row>9</xdr:row>
      <xdr:rowOff>42372</xdr:rowOff>
    </xdr:from>
    <xdr:to>
      <xdr:col>7</xdr:col>
      <xdr:colOff>104956</xdr:colOff>
      <xdr:row>9</xdr:row>
      <xdr:rowOff>762182</xdr:rowOff>
    </xdr:to>
    <xdr:pic>
      <xdr:nvPicPr>
        <xdr:cNvPr id="25" name="Image 24" descr="Icone_Batiments.png">
          <a:hlinkClick xmlns:r="http://schemas.openxmlformats.org/officeDocument/2006/relationships" r:id="rId28"/>
        </xdr:cNvPr>
        <xdr:cNvPicPr>
          <a:picLocks noChangeAspect="1"/>
        </xdr:cNvPicPr>
      </xdr:nvPicPr>
      <xdr:blipFill>
        <a:blip xmlns:r="http://schemas.openxmlformats.org/officeDocument/2006/relationships" r:embed="rId29" cstate="print"/>
        <a:stretch>
          <a:fillRect/>
        </a:stretch>
      </xdr:blipFill>
      <xdr:spPr>
        <a:xfrm>
          <a:off x="5172075" y="4957272"/>
          <a:ext cx="714556" cy="719810"/>
        </a:xfrm>
        <a:prstGeom prst="rect">
          <a:avLst/>
        </a:prstGeom>
      </xdr:spPr>
    </xdr:pic>
    <xdr:clientData/>
  </xdr:twoCellAnchor>
  <xdr:twoCellAnchor editAs="oneCell">
    <xdr:from>
      <xdr:col>8</xdr:col>
      <xdr:colOff>435640</xdr:colOff>
      <xdr:row>9</xdr:row>
      <xdr:rowOff>123824</xdr:rowOff>
    </xdr:from>
    <xdr:to>
      <xdr:col>10</xdr:col>
      <xdr:colOff>47923</xdr:colOff>
      <xdr:row>9</xdr:row>
      <xdr:rowOff>686097</xdr:rowOff>
    </xdr:to>
    <xdr:pic>
      <xdr:nvPicPr>
        <xdr:cNvPr id="26" name="Image 25" descr="Icone_Catégories.png">
          <a:hlinkClick xmlns:r="http://schemas.openxmlformats.org/officeDocument/2006/relationships" r:id="rId30"/>
        </xdr:cNvPr>
        <xdr:cNvPicPr>
          <a:picLocks noChangeAspect="1"/>
        </xdr:cNvPicPr>
      </xdr:nvPicPr>
      <xdr:blipFill>
        <a:blip xmlns:r="http://schemas.openxmlformats.org/officeDocument/2006/relationships" r:embed="rId31" cstate="print"/>
        <a:stretch>
          <a:fillRect/>
        </a:stretch>
      </xdr:blipFill>
      <xdr:spPr>
        <a:xfrm>
          <a:off x="6693565" y="5038724"/>
          <a:ext cx="564783" cy="562273"/>
        </a:xfrm>
        <a:prstGeom prst="rect">
          <a:avLst/>
        </a:prstGeom>
      </xdr:spPr>
    </xdr:pic>
    <xdr:clientData/>
  </xdr:twoCellAnchor>
  <xdr:twoCellAnchor editAs="oneCell">
    <xdr:from>
      <xdr:col>11</xdr:col>
      <xdr:colOff>381000</xdr:colOff>
      <xdr:row>9</xdr:row>
      <xdr:rowOff>58059</xdr:rowOff>
    </xdr:from>
    <xdr:to>
      <xdr:col>13</xdr:col>
      <xdr:colOff>105068</xdr:colOff>
      <xdr:row>9</xdr:row>
      <xdr:rowOff>762305</xdr:rowOff>
    </xdr:to>
    <xdr:pic>
      <xdr:nvPicPr>
        <xdr:cNvPr id="27" name="Image 26" descr="Icone_Paramètres.png">
          <a:hlinkClick xmlns:r="http://schemas.openxmlformats.org/officeDocument/2006/relationships" r:id="rId32"/>
        </xdr:cNvPr>
        <xdr:cNvPicPr>
          <a:picLocks noChangeAspect="1"/>
        </xdr:cNvPicPr>
      </xdr:nvPicPr>
      <xdr:blipFill>
        <a:blip xmlns:r="http://schemas.openxmlformats.org/officeDocument/2006/relationships" r:embed="rId33" cstate="print"/>
        <a:stretch>
          <a:fillRect/>
        </a:stretch>
      </xdr:blipFill>
      <xdr:spPr>
        <a:xfrm>
          <a:off x="8067675" y="4972959"/>
          <a:ext cx="676568" cy="704246"/>
        </a:xfrm>
        <a:prstGeom prst="rect">
          <a:avLst/>
        </a:prstGeom>
      </xdr:spPr>
    </xdr:pic>
    <xdr:clientData/>
  </xdr:twoCellAnchor>
  <xdr:twoCellAnchor editAs="oneCell">
    <xdr:from>
      <xdr:col>14</xdr:col>
      <xdr:colOff>380999</xdr:colOff>
      <xdr:row>9</xdr:row>
      <xdr:rowOff>54597</xdr:rowOff>
    </xdr:from>
    <xdr:to>
      <xdr:col>16</xdr:col>
      <xdr:colOff>171450</xdr:colOff>
      <xdr:row>9</xdr:row>
      <xdr:rowOff>800865</xdr:rowOff>
    </xdr:to>
    <xdr:pic macro="[0]!Fermer">
      <xdr:nvPicPr>
        <xdr:cNvPr id="31" name="Image 30" descr="Bouton_Quitter.png"/>
        <xdr:cNvPicPr>
          <a:picLocks noChangeAspect="1"/>
        </xdr:cNvPicPr>
      </xdr:nvPicPr>
      <xdr:blipFill>
        <a:blip xmlns:r="http://schemas.openxmlformats.org/officeDocument/2006/relationships" r:embed="rId34" cstate="print"/>
        <a:stretch>
          <a:fillRect/>
        </a:stretch>
      </xdr:blipFill>
      <xdr:spPr>
        <a:xfrm>
          <a:off x="10058399" y="3950322"/>
          <a:ext cx="742951" cy="7462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114299</xdr:colOff>
      <xdr:row>0</xdr:row>
      <xdr:rowOff>19049</xdr:rowOff>
    </xdr:from>
    <xdr:to>
      <xdr:col>6</xdr:col>
      <xdr:colOff>700222</xdr:colOff>
      <xdr:row>0</xdr:row>
      <xdr:rowOff>626792</xdr:rowOff>
    </xdr:to>
    <xdr:pic>
      <xdr:nvPicPr>
        <xdr:cNvPr id="2" name="Image 1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258174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963408</xdr:colOff>
      <xdr:row>0</xdr:row>
      <xdr:rowOff>19050</xdr:rowOff>
    </xdr:from>
    <xdr:to>
      <xdr:col>3</xdr:col>
      <xdr:colOff>1581150</xdr:colOff>
      <xdr:row>0</xdr:row>
      <xdr:rowOff>619126</xdr:rowOff>
    </xdr:to>
    <xdr:pic macro="[0]!Feuil1.Afficher_Form_Ajout_Interventions">
      <xdr:nvPicPr>
        <xdr:cNvPr id="3" name="Image 2" descr="Bouton_Ajou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630658" y="19050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216287</xdr:colOff>
      <xdr:row>0</xdr:row>
      <xdr:rowOff>16650</xdr:rowOff>
    </xdr:from>
    <xdr:to>
      <xdr:col>6</xdr:col>
      <xdr:colOff>58167</xdr:colOff>
      <xdr:row>0</xdr:row>
      <xdr:rowOff>609600</xdr:rowOff>
    </xdr:to>
    <xdr:pic macro="[0]!Feuil1.Supprimer_Intervention">
      <xdr:nvPicPr>
        <xdr:cNvPr id="4" name="Image 3" descr="Bouton_Supprim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7598162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323850</xdr:colOff>
      <xdr:row>0</xdr:row>
      <xdr:rowOff>0</xdr:rowOff>
    </xdr:from>
    <xdr:to>
      <xdr:col>5</xdr:col>
      <xdr:colOff>188409</xdr:colOff>
      <xdr:row>0</xdr:row>
      <xdr:rowOff>633390</xdr:rowOff>
    </xdr:to>
    <xdr:pic macro="[0]!Feuil1.Trier_Interventions">
      <xdr:nvPicPr>
        <xdr:cNvPr id="5" name="Image 4" descr="Bouton_Tri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943725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9525</xdr:colOff>
      <xdr:row>0</xdr:row>
      <xdr:rowOff>0</xdr:rowOff>
    </xdr:from>
    <xdr:to>
      <xdr:col>7</xdr:col>
      <xdr:colOff>640764</xdr:colOff>
      <xdr:row>0</xdr:row>
      <xdr:rowOff>638175</xdr:rowOff>
    </xdr:to>
    <xdr:pic>
      <xdr:nvPicPr>
        <xdr:cNvPr id="8" name="Image 7" descr="Bouton_Stat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8915400" y="0"/>
          <a:ext cx="631239" cy="638175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1609984</xdr:colOff>
      <xdr:row>0</xdr:row>
      <xdr:rowOff>1</xdr:rowOff>
    </xdr:from>
    <xdr:to>
      <xdr:col>4</xdr:col>
      <xdr:colOff>283524</xdr:colOff>
      <xdr:row>0</xdr:row>
      <xdr:rowOff>609601</xdr:rowOff>
    </xdr:to>
    <xdr:pic macro="[0]!Feuil1.Afficher_Form_Modif_Intervention">
      <xdr:nvPicPr>
        <xdr:cNvPr id="7" name="Image 6" descr="Bouton_Modifier.png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6277234" y="1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2503409</xdr:colOff>
      <xdr:row>0</xdr:row>
      <xdr:rowOff>19049</xdr:rowOff>
    </xdr:from>
    <xdr:to>
      <xdr:col>7</xdr:col>
      <xdr:colOff>489007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91385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1833872</xdr:colOff>
      <xdr:row>0</xdr:row>
      <xdr:rowOff>16650</xdr:rowOff>
    </xdr:from>
    <xdr:to>
      <xdr:col>6</xdr:col>
      <xdr:colOff>2437752</xdr:colOff>
      <xdr:row>0</xdr:row>
      <xdr:rowOff>618088</xdr:rowOff>
    </xdr:to>
    <xdr:pic macro="[0]!Feuil2.Supprimer_Opération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9806297" y="16650"/>
          <a:ext cx="603880" cy="601438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1179435</xdr:colOff>
      <xdr:row>0</xdr:row>
      <xdr:rowOff>0</xdr:rowOff>
    </xdr:from>
    <xdr:to>
      <xdr:col>6</xdr:col>
      <xdr:colOff>1805994</xdr:colOff>
      <xdr:row>0</xdr:row>
      <xdr:rowOff>633390</xdr:rowOff>
    </xdr:to>
    <xdr:pic macro="[0]!Feuil2.Trier_Opération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915186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731760</xdr:colOff>
      <xdr:row>0</xdr:row>
      <xdr:rowOff>19049</xdr:rowOff>
    </xdr:from>
    <xdr:to>
      <xdr:col>6</xdr:col>
      <xdr:colOff>520827</xdr:colOff>
      <xdr:row>0</xdr:row>
      <xdr:rowOff>619125</xdr:rowOff>
    </xdr:to>
    <xdr:pic macro="[0]!Feuil2.Afficher_Form_Ajout_Opérations">
      <xdr:nvPicPr>
        <xdr:cNvPr id="9" name="Image 8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7875510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549661</xdr:colOff>
      <xdr:row>0</xdr:row>
      <xdr:rowOff>0</xdr:rowOff>
    </xdr:from>
    <xdr:to>
      <xdr:col>6</xdr:col>
      <xdr:colOff>1175826</xdr:colOff>
      <xdr:row>0</xdr:row>
      <xdr:rowOff>609600</xdr:rowOff>
    </xdr:to>
    <xdr:pic macro="[0]!Feuil2.Afficher_Form_Modif_Opération">
      <xdr:nvPicPr>
        <xdr:cNvPr id="10" name="Image 9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8522086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1427084</xdr:colOff>
      <xdr:row>0</xdr:row>
      <xdr:rowOff>19049</xdr:rowOff>
    </xdr:from>
    <xdr:to>
      <xdr:col>5</xdr:col>
      <xdr:colOff>2013007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54225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767072</xdr:colOff>
      <xdr:row>0</xdr:row>
      <xdr:rowOff>16650</xdr:rowOff>
    </xdr:from>
    <xdr:to>
      <xdr:col>5</xdr:col>
      <xdr:colOff>1370952</xdr:colOff>
      <xdr:row>0</xdr:row>
      <xdr:rowOff>618088</xdr:rowOff>
    </xdr:to>
    <xdr:pic macro="[0]!Feuil3.Supprimer_Entete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882247" y="16650"/>
          <a:ext cx="603880" cy="601438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112635</xdr:colOff>
      <xdr:row>0</xdr:row>
      <xdr:rowOff>0</xdr:rowOff>
    </xdr:from>
    <xdr:to>
      <xdr:col>5</xdr:col>
      <xdr:colOff>739194</xdr:colOff>
      <xdr:row>0</xdr:row>
      <xdr:rowOff>633390</xdr:rowOff>
    </xdr:to>
    <xdr:pic macro="[0]!Feuil3.Trier_Entete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722781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1152525</xdr:colOff>
      <xdr:row>0</xdr:row>
      <xdr:rowOff>9524</xdr:rowOff>
    </xdr:from>
    <xdr:to>
      <xdr:col>4</xdr:col>
      <xdr:colOff>1770267</xdr:colOff>
      <xdr:row>0</xdr:row>
      <xdr:rowOff>609600</xdr:rowOff>
    </xdr:to>
    <xdr:pic macro="[0]!Feuil3.Afficher_Form_Ajout_Entete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915025" y="9524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1799101</xdr:colOff>
      <xdr:row>0</xdr:row>
      <xdr:rowOff>0</xdr:rowOff>
    </xdr:from>
    <xdr:to>
      <xdr:col>5</xdr:col>
      <xdr:colOff>72591</xdr:colOff>
      <xdr:row>0</xdr:row>
      <xdr:rowOff>609600</xdr:rowOff>
    </xdr:to>
    <xdr:pic macro="[0]!Feuil3.Afficher_Form_Modif_Entete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56160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703184</xdr:colOff>
      <xdr:row>0</xdr:row>
      <xdr:rowOff>19049</xdr:rowOff>
    </xdr:from>
    <xdr:to>
      <xdr:col>7</xdr:col>
      <xdr:colOff>1289107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42795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43172</xdr:colOff>
      <xdr:row>0</xdr:row>
      <xdr:rowOff>16650</xdr:rowOff>
    </xdr:from>
    <xdr:to>
      <xdr:col>7</xdr:col>
      <xdr:colOff>647052</xdr:colOff>
      <xdr:row>0</xdr:row>
      <xdr:rowOff>609600</xdr:rowOff>
    </xdr:to>
    <xdr:pic macro="[0]!Feuil4.Supprimer_Ligne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767947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1188960</xdr:colOff>
      <xdr:row>0</xdr:row>
      <xdr:rowOff>0</xdr:rowOff>
    </xdr:from>
    <xdr:to>
      <xdr:col>7</xdr:col>
      <xdr:colOff>5769</xdr:colOff>
      <xdr:row>0</xdr:row>
      <xdr:rowOff>633390</xdr:rowOff>
    </xdr:to>
    <xdr:pic macro="[0]!Feuil4.Trier_Ligne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758976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666750</xdr:colOff>
      <xdr:row>0</xdr:row>
      <xdr:rowOff>19049</xdr:rowOff>
    </xdr:from>
    <xdr:to>
      <xdr:col>6</xdr:col>
      <xdr:colOff>522492</xdr:colOff>
      <xdr:row>0</xdr:row>
      <xdr:rowOff>619125</xdr:rowOff>
    </xdr:to>
    <xdr:pic macro="[0]!Feuil4.Afficher_Form_Ajout_Ligne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305550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541801</xdr:colOff>
      <xdr:row>0</xdr:row>
      <xdr:rowOff>0</xdr:rowOff>
    </xdr:from>
    <xdr:to>
      <xdr:col>6</xdr:col>
      <xdr:colOff>1167966</xdr:colOff>
      <xdr:row>0</xdr:row>
      <xdr:rowOff>609600</xdr:rowOff>
    </xdr:to>
    <xdr:pic macro="[0]!Feuil4.Afficher_Form_Modif_Ligne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94260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1046477</xdr:colOff>
      <xdr:row>6</xdr:row>
      <xdr:rowOff>186018</xdr:rowOff>
    </xdr:to>
    <xdr:pic>
      <xdr:nvPicPr>
        <xdr:cNvPr id="3" name="Image 2" descr="Logo Excel-les-Bain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667996" cy="1981200"/>
        </a:xfrm>
        <a:prstGeom prst="rect">
          <a:avLst/>
        </a:prstGeom>
      </xdr:spPr>
    </xdr:pic>
    <xdr:clientData/>
  </xdr:twoCellAnchor>
  <xdr:oneCellAnchor>
    <xdr:from>
      <xdr:col>0</xdr:col>
      <xdr:colOff>89648</xdr:colOff>
      <xdr:row>31</xdr:row>
      <xdr:rowOff>56030</xdr:rowOff>
    </xdr:from>
    <xdr:ext cx="8964706" cy="963705"/>
    <xdr:sp macro="" textlink="">
      <xdr:nvSpPr>
        <xdr:cNvPr id="4" name="ZoneTexte 3"/>
        <xdr:cNvSpPr txBox="1"/>
      </xdr:nvSpPr>
      <xdr:spPr>
        <a:xfrm>
          <a:off x="89648" y="12819530"/>
          <a:ext cx="8964706" cy="963705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l"/>
          <a:r>
            <a:rPr lang="fr-FR" sz="1100" b="1"/>
            <a:t>Cachet et signature</a:t>
          </a:r>
          <a:r>
            <a:rPr lang="fr-FR" sz="1100" b="1" baseline="0"/>
            <a:t>s :</a:t>
          </a:r>
        </a:p>
        <a:p>
          <a:r>
            <a:rPr lang="fr-FR" sz="1100" baseline="0"/>
            <a:t>Le responsable				Le chef de service			L'ordonnateur</a:t>
          </a:r>
          <a:endParaRPr lang="fr-FR" sz="1100"/>
        </a:p>
      </xdr:txBody>
    </xdr:sp>
    <xdr:clientData/>
  </xdr:oneCellAnchor>
  <xdr:twoCellAnchor editAs="oneCell">
    <xdr:from>
      <xdr:col>11</xdr:col>
      <xdr:colOff>493059</xdr:colOff>
      <xdr:row>0</xdr:row>
      <xdr:rowOff>342675</xdr:rowOff>
    </xdr:from>
    <xdr:to>
      <xdr:col>11</xdr:col>
      <xdr:colOff>1221441</xdr:colOff>
      <xdr:row>4</xdr:row>
      <xdr:rowOff>78441</xdr:rowOff>
    </xdr:to>
    <xdr:pic>
      <xdr:nvPicPr>
        <xdr:cNvPr id="6" name="Image 5" descr="Icone_Accueil.png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1105030" y="342675"/>
          <a:ext cx="728382" cy="755501"/>
        </a:xfrm>
        <a:prstGeom prst="rect">
          <a:avLst/>
        </a:prstGeom>
      </xdr:spPr>
    </xdr:pic>
    <xdr:clientData/>
  </xdr:twoCellAnchor>
  <xdr:twoCellAnchor editAs="oneCell">
    <xdr:from>
      <xdr:col>10</xdr:col>
      <xdr:colOff>470646</xdr:colOff>
      <xdr:row>0</xdr:row>
      <xdr:rowOff>369793</xdr:rowOff>
    </xdr:from>
    <xdr:to>
      <xdr:col>11</xdr:col>
      <xdr:colOff>409575</xdr:colOff>
      <xdr:row>4</xdr:row>
      <xdr:rowOff>39843</xdr:rowOff>
    </xdr:to>
    <xdr:pic macro="[0]!Actualiser_BC">
      <xdr:nvPicPr>
        <xdr:cNvPr id="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0320617" y="369793"/>
          <a:ext cx="700929" cy="68978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484109</xdr:colOff>
      <xdr:row>0</xdr:row>
      <xdr:rowOff>0</xdr:rowOff>
    </xdr:from>
    <xdr:to>
      <xdr:col>10</xdr:col>
      <xdr:colOff>241357</xdr:colOff>
      <xdr:row>0</xdr:row>
      <xdr:rowOff>607743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694784" y="0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43172</xdr:colOff>
      <xdr:row>0</xdr:row>
      <xdr:rowOff>16650</xdr:rowOff>
    </xdr:from>
    <xdr:to>
      <xdr:col>8</xdr:col>
      <xdr:colOff>647052</xdr:colOff>
      <xdr:row>0</xdr:row>
      <xdr:rowOff>609600</xdr:rowOff>
    </xdr:to>
    <xdr:pic macro="[0]!Feuil6.Supprimer_Facture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425172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684135</xdr:colOff>
      <xdr:row>0</xdr:row>
      <xdr:rowOff>0</xdr:rowOff>
    </xdr:from>
    <xdr:to>
      <xdr:col>8</xdr:col>
      <xdr:colOff>15294</xdr:colOff>
      <xdr:row>0</xdr:row>
      <xdr:rowOff>633390</xdr:rowOff>
    </xdr:to>
    <xdr:pic macro="[0]!Feuil6.Trier_Facture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7770735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276225</xdr:colOff>
      <xdr:row>0</xdr:row>
      <xdr:rowOff>19049</xdr:rowOff>
    </xdr:from>
    <xdr:to>
      <xdr:col>6</xdr:col>
      <xdr:colOff>893967</xdr:colOff>
      <xdr:row>0</xdr:row>
      <xdr:rowOff>619125</xdr:rowOff>
    </xdr:to>
    <xdr:pic macro="[0]!Feuil6.Afficher_Form_Ajout_Facture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46747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27451</xdr:colOff>
      <xdr:row>0</xdr:row>
      <xdr:rowOff>0</xdr:rowOff>
    </xdr:from>
    <xdr:to>
      <xdr:col>7</xdr:col>
      <xdr:colOff>653616</xdr:colOff>
      <xdr:row>0</xdr:row>
      <xdr:rowOff>609600</xdr:rowOff>
    </xdr:to>
    <xdr:pic macro="[0]!Feuil6.Afficher_Form_Modif_Facture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114051" y="0"/>
          <a:ext cx="626165" cy="6096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666750</xdr:colOff>
      <xdr:row>0</xdr:row>
      <xdr:rowOff>0</xdr:rowOff>
    </xdr:from>
    <xdr:to>
      <xdr:col>9</xdr:col>
      <xdr:colOff>469314</xdr:colOff>
      <xdr:row>0</xdr:row>
      <xdr:rowOff>638175</xdr:rowOff>
    </xdr:to>
    <xdr:pic>
      <xdr:nvPicPr>
        <xdr:cNvPr id="9" name="Image 8" descr="Bouton_Stat.png">
          <a:hlinkClick xmlns:r="http://schemas.openxmlformats.org/officeDocument/2006/relationships" r:id="rId7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9048750" y="0"/>
          <a:ext cx="631239" cy="638175"/>
        </a:xfrm>
        <a:prstGeom prst="rect">
          <a:avLst/>
        </a:prstGeom>
      </xdr:spPr>
    </xdr:pic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2455784</xdr:colOff>
      <xdr:row>0</xdr:row>
      <xdr:rowOff>19049</xdr:rowOff>
    </xdr:from>
    <xdr:to>
      <xdr:col>3</xdr:col>
      <xdr:colOff>108007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13255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1795772</xdr:colOff>
      <xdr:row>0</xdr:row>
      <xdr:rowOff>16650</xdr:rowOff>
    </xdr:from>
    <xdr:to>
      <xdr:col>2</xdr:col>
      <xdr:colOff>2399652</xdr:colOff>
      <xdr:row>0</xdr:row>
      <xdr:rowOff>609600</xdr:rowOff>
    </xdr:to>
    <xdr:pic macro="[0]!Feuil7.Supprimer_Chantier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472547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1141335</xdr:colOff>
      <xdr:row>0</xdr:row>
      <xdr:rowOff>0</xdr:rowOff>
    </xdr:from>
    <xdr:to>
      <xdr:col>2</xdr:col>
      <xdr:colOff>1767894</xdr:colOff>
      <xdr:row>0</xdr:row>
      <xdr:rowOff>633390</xdr:rowOff>
    </xdr:to>
    <xdr:pic macro="[0]!Feuil7.Trier_Chantier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81811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3771900</xdr:colOff>
      <xdr:row>0</xdr:row>
      <xdr:rowOff>19049</xdr:rowOff>
    </xdr:from>
    <xdr:to>
      <xdr:col>2</xdr:col>
      <xdr:colOff>474867</xdr:colOff>
      <xdr:row>0</xdr:row>
      <xdr:rowOff>619125</xdr:rowOff>
    </xdr:to>
    <xdr:pic macro="[0]!Feuil7.Afficher_Form_Ajout_Chantiers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533900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503701</xdr:colOff>
      <xdr:row>0</xdr:row>
      <xdr:rowOff>0</xdr:rowOff>
    </xdr:from>
    <xdr:to>
      <xdr:col>2</xdr:col>
      <xdr:colOff>1129866</xdr:colOff>
      <xdr:row>0</xdr:row>
      <xdr:rowOff>609600</xdr:rowOff>
    </xdr:to>
    <xdr:pic macro="[0]!Feuil7.Afficher_Form_Modif_Chantier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180476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436484</xdr:colOff>
      <xdr:row>0</xdr:row>
      <xdr:rowOff>19049</xdr:rowOff>
    </xdr:from>
    <xdr:to>
      <xdr:col>6</xdr:col>
      <xdr:colOff>1022407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408784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776597</xdr:colOff>
      <xdr:row>0</xdr:row>
      <xdr:rowOff>16650</xdr:rowOff>
    </xdr:from>
    <xdr:to>
      <xdr:col>6</xdr:col>
      <xdr:colOff>380352</xdr:colOff>
      <xdr:row>0</xdr:row>
      <xdr:rowOff>609600</xdr:rowOff>
    </xdr:to>
    <xdr:pic macro="[0]!Feuil8.Supprimer_Imputation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48772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122160</xdr:colOff>
      <xdr:row>0</xdr:row>
      <xdr:rowOff>0</xdr:rowOff>
    </xdr:from>
    <xdr:to>
      <xdr:col>5</xdr:col>
      <xdr:colOff>748719</xdr:colOff>
      <xdr:row>1</xdr:row>
      <xdr:rowOff>0</xdr:rowOff>
    </xdr:to>
    <xdr:pic macro="[0]!Feuil8.Trier_Imputation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094335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828675</xdr:colOff>
      <xdr:row>0</xdr:row>
      <xdr:rowOff>19049</xdr:rowOff>
    </xdr:from>
    <xdr:to>
      <xdr:col>4</xdr:col>
      <xdr:colOff>446292</xdr:colOff>
      <xdr:row>0</xdr:row>
      <xdr:rowOff>619125</xdr:rowOff>
    </xdr:to>
    <xdr:pic macro="[0]!Feuil8.Afficher_Form_Ajout_Imputation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800600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475126</xdr:colOff>
      <xdr:row>0</xdr:row>
      <xdr:rowOff>0</xdr:rowOff>
    </xdr:from>
    <xdr:to>
      <xdr:col>5</xdr:col>
      <xdr:colOff>101166</xdr:colOff>
      <xdr:row>0</xdr:row>
      <xdr:rowOff>609600</xdr:rowOff>
    </xdr:to>
    <xdr:pic macro="[0]!Feuil8.Afficher_Form_Modif_Imputation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447176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1608059</xdr:colOff>
      <xdr:row>0</xdr:row>
      <xdr:rowOff>19049</xdr:rowOff>
    </xdr:from>
    <xdr:to>
      <xdr:col>4</xdr:col>
      <xdr:colOff>2193982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81835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948047</xdr:colOff>
      <xdr:row>0</xdr:row>
      <xdr:rowOff>16650</xdr:rowOff>
    </xdr:from>
    <xdr:to>
      <xdr:col>4</xdr:col>
      <xdr:colOff>1551927</xdr:colOff>
      <xdr:row>0</xdr:row>
      <xdr:rowOff>609600</xdr:rowOff>
    </xdr:to>
    <xdr:pic macro="[0]!Feuil9.Supprimer_Fournisseur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158347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293610</xdr:colOff>
      <xdr:row>0</xdr:row>
      <xdr:rowOff>0</xdr:rowOff>
    </xdr:from>
    <xdr:to>
      <xdr:col>4</xdr:col>
      <xdr:colOff>920169</xdr:colOff>
      <xdr:row>0</xdr:row>
      <xdr:rowOff>633390</xdr:rowOff>
    </xdr:to>
    <xdr:pic macro="[0]!Feuil9.Trier_Fournisseur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50391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904875</xdr:colOff>
      <xdr:row>0</xdr:row>
      <xdr:rowOff>19049</xdr:rowOff>
    </xdr:from>
    <xdr:to>
      <xdr:col>3</xdr:col>
      <xdr:colOff>1522617</xdr:colOff>
      <xdr:row>0</xdr:row>
      <xdr:rowOff>619125</xdr:rowOff>
    </xdr:to>
    <xdr:pic macro="[0]!Feuil9.Afficher_Form_Ajout_Fournisseur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200650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1551451</xdr:colOff>
      <xdr:row>0</xdr:row>
      <xdr:rowOff>0</xdr:rowOff>
    </xdr:from>
    <xdr:to>
      <xdr:col>4</xdr:col>
      <xdr:colOff>263091</xdr:colOff>
      <xdr:row>0</xdr:row>
      <xdr:rowOff>609600</xdr:rowOff>
    </xdr:to>
    <xdr:pic macro="[0]!Feuil9.Afficher_Form_Modif_Fournisseur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847226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636509</xdr:colOff>
      <xdr:row>0</xdr:row>
      <xdr:rowOff>19049</xdr:rowOff>
    </xdr:from>
    <xdr:to>
      <xdr:col>6</xdr:col>
      <xdr:colOff>1222432</xdr:colOff>
      <xdr:row>2</xdr:row>
      <xdr:rowOff>169592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323184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1452872</xdr:colOff>
      <xdr:row>0</xdr:row>
      <xdr:rowOff>16650</xdr:rowOff>
    </xdr:from>
    <xdr:to>
      <xdr:col>6</xdr:col>
      <xdr:colOff>580377</xdr:colOff>
      <xdr:row>2</xdr:row>
      <xdr:rowOff>152400</xdr:rowOff>
    </xdr:to>
    <xdr:pic macro="[0]!Feuil10.Supprimer_Agent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663172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798435</xdr:colOff>
      <xdr:row>0</xdr:row>
      <xdr:rowOff>0</xdr:rowOff>
    </xdr:from>
    <xdr:to>
      <xdr:col>5</xdr:col>
      <xdr:colOff>1424994</xdr:colOff>
      <xdr:row>2</xdr:row>
      <xdr:rowOff>176190</xdr:rowOff>
    </xdr:to>
    <xdr:pic macro="[0]!Feuil10.Trier_Agent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7008735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1381125</xdr:colOff>
      <xdr:row>0</xdr:row>
      <xdr:rowOff>19049</xdr:rowOff>
    </xdr:from>
    <xdr:to>
      <xdr:col>5</xdr:col>
      <xdr:colOff>112917</xdr:colOff>
      <xdr:row>2</xdr:row>
      <xdr:rowOff>161925</xdr:rowOff>
    </xdr:to>
    <xdr:pic macro="[0]!Feuil10.Afficher_Form_Ajout_Agents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70547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141751</xdr:colOff>
      <xdr:row>0</xdr:row>
      <xdr:rowOff>0</xdr:rowOff>
    </xdr:from>
    <xdr:to>
      <xdr:col>5</xdr:col>
      <xdr:colOff>767916</xdr:colOff>
      <xdr:row>2</xdr:row>
      <xdr:rowOff>152400</xdr:rowOff>
    </xdr:to>
    <xdr:pic macro="[0]!Feuil10.Afficher_Form_Modif_Agent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35205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865109</xdr:colOff>
      <xdr:row>0</xdr:row>
      <xdr:rowOff>19049</xdr:rowOff>
    </xdr:from>
    <xdr:to>
      <xdr:col>7</xdr:col>
      <xdr:colOff>1451032</xdr:colOff>
      <xdr:row>0</xdr:row>
      <xdr:rowOff>626792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51380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205097</xdr:colOff>
      <xdr:row>0</xdr:row>
      <xdr:rowOff>16650</xdr:rowOff>
    </xdr:from>
    <xdr:to>
      <xdr:col>7</xdr:col>
      <xdr:colOff>808977</xdr:colOff>
      <xdr:row>0</xdr:row>
      <xdr:rowOff>609600</xdr:rowOff>
    </xdr:to>
    <xdr:pic macro="[0]!Feuil11.Supprimer_Bâtiment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853797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1493760</xdr:colOff>
      <xdr:row>0</xdr:row>
      <xdr:rowOff>0</xdr:rowOff>
    </xdr:from>
    <xdr:to>
      <xdr:col>7</xdr:col>
      <xdr:colOff>177219</xdr:colOff>
      <xdr:row>0</xdr:row>
      <xdr:rowOff>633390</xdr:rowOff>
    </xdr:to>
    <xdr:pic macro="[0]!Feuil11.Trier_Bâtiment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819936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200025</xdr:colOff>
      <xdr:row>0</xdr:row>
      <xdr:rowOff>19049</xdr:rowOff>
    </xdr:from>
    <xdr:to>
      <xdr:col>6</xdr:col>
      <xdr:colOff>817767</xdr:colOff>
      <xdr:row>0</xdr:row>
      <xdr:rowOff>619125</xdr:rowOff>
    </xdr:to>
    <xdr:pic macro="[0]!Feuil11.Afficher_Form_Ajout_Bâtiments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90562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846601</xdr:colOff>
      <xdr:row>0</xdr:row>
      <xdr:rowOff>0</xdr:rowOff>
    </xdr:from>
    <xdr:to>
      <xdr:col>6</xdr:col>
      <xdr:colOff>1472766</xdr:colOff>
      <xdr:row>0</xdr:row>
      <xdr:rowOff>609600</xdr:rowOff>
    </xdr:to>
    <xdr:pic macro="[0]!Feuil11.Afficher_Form_Modif_Bâtiment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55220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750809</xdr:colOff>
      <xdr:row>0</xdr:row>
      <xdr:rowOff>19049</xdr:rowOff>
    </xdr:from>
    <xdr:to>
      <xdr:col>5</xdr:col>
      <xdr:colOff>1336732</xdr:colOff>
      <xdr:row>1</xdr:row>
      <xdr:rowOff>93392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685134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90797</xdr:colOff>
      <xdr:row>0</xdr:row>
      <xdr:rowOff>16650</xdr:rowOff>
    </xdr:from>
    <xdr:to>
      <xdr:col>5</xdr:col>
      <xdr:colOff>694677</xdr:colOff>
      <xdr:row>1</xdr:row>
      <xdr:rowOff>76200</xdr:rowOff>
    </xdr:to>
    <xdr:pic macro="[0]!Feuil12.Supprimer_Catégorie_Bâtiments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025122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912735</xdr:colOff>
      <xdr:row>0</xdr:row>
      <xdr:rowOff>0</xdr:rowOff>
    </xdr:from>
    <xdr:to>
      <xdr:col>5</xdr:col>
      <xdr:colOff>62919</xdr:colOff>
      <xdr:row>1</xdr:row>
      <xdr:rowOff>99990</xdr:rowOff>
    </xdr:to>
    <xdr:pic macro="[0]!Feuil12.Trier_Catégories_Bâtiment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7370685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809625</xdr:colOff>
      <xdr:row>0</xdr:row>
      <xdr:rowOff>19049</xdr:rowOff>
    </xdr:from>
    <xdr:to>
      <xdr:col>4</xdr:col>
      <xdr:colOff>227217</xdr:colOff>
      <xdr:row>1</xdr:row>
      <xdr:rowOff>85725</xdr:rowOff>
    </xdr:to>
    <xdr:pic macro="[0]!Feuil12.Afficher_Form_Ajout_Catégorie_Bâtiments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06742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256051</xdr:colOff>
      <xdr:row>0</xdr:row>
      <xdr:rowOff>0</xdr:rowOff>
    </xdr:from>
    <xdr:to>
      <xdr:col>4</xdr:col>
      <xdr:colOff>882216</xdr:colOff>
      <xdr:row>1</xdr:row>
      <xdr:rowOff>76200</xdr:rowOff>
    </xdr:to>
    <xdr:pic macro="[0]!Feuil12.Afficher_Form_Modif_Catégorie_Bâtiments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71400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2046209</xdr:colOff>
      <xdr:row>0</xdr:row>
      <xdr:rowOff>19049</xdr:rowOff>
    </xdr:from>
    <xdr:to>
      <xdr:col>4</xdr:col>
      <xdr:colOff>2632132</xdr:colOff>
      <xdr:row>2</xdr:row>
      <xdr:rowOff>45767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80870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1386197</xdr:colOff>
      <xdr:row>0</xdr:row>
      <xdr:rowOff>16650</xdr:rowOff>
    </xdr:from>
    <xdr:to>
      <xdr:col>4</xdr:col>
      <xdr:colOff>1990077</xdr:colOff>
      <xdr:row>2</xdr:row>
      <xdr:rowOff>28575</xdr:rowOff>
    </xdr:to>
    <xdr:pic macro="[0]!Feuil13.Supprimer_Service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148697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731760</xdr:colOff>
      <xdr:row>0</xdr:row>
      <xdr:rowOff>0</xdr:rowOff>
    </xdr:from>
    <xdr:to>
      <xdr:col>4</xdr:col>
      <xdr:colOff>1358319</xdr:colOff>
      <xdr:row>2</xdr:row>
      <xdr:rowOff>52365</xdr:rowOff>
    </xdr:to>
    <xdr:pic macro="[0]!Feuil13.Trier_Service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49426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342900</xdr:colOff>
      <xdr:row>0</xdr:row>
      <xdr:rowOff>19049</xdr:rowOff>
    </xdr:from>
    <xdr:to>
      <xdr:col>4</xdr:col>
      <xdr:colOff>55767</xdr:colOff>
      <xdr:row>2</xdr:row>
      <xdr:rowOff>38100</xdr:rowOff>
    </xdr:to>
    <xdr:pic macro="[0]!Feuil13.Afficher_Form_Ajout_Service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84601</xdr:colOff>
      <xdr:row>0</xdr:row>
      <xdr:rowOff>0</xdr:rowOff>
    </xdr:from>
    <xdr:to>
      <xdr:col>4</xdr:col>
      <xdr:colOff>710766</xdr:colOff>
      <xdr:row>2</xdr:row>
      <xdr:rowOff>28575</xdr:rowOff>
    </xdr:to>
    <xdr:pic macro="[0]!Feuil13.Afficher_Form_Modif_Service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555195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1284209</xdr:colOff>
      <xdr:row>0</xdr:row>
      <xdr:rowOff>19049</xdr:rowOff>
    </xdr:from>
    <xdr:to>
      <xdr:col>6</xdr:col>
      <xdr:colOff>1870132</xdr:colOff>
      <xdr:row>1</xdr:row>
      <xdr:rowOff>245792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904084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624197</xdr:colOff>
      <xdr:row>0</xdr:row>
      <xdr:rowOff>16650</xdr:rowOff>
    </xdr:from>
    <xdr:to>
      <xdr:col>6</xdr:col>
      <xdr:colOff>1228077</xdr:colOff>
      <xdr:row>1</xdr:row>
      <xdr:rowOff>228600</xdr:rowOff>
    </xdr:to>
    <xdr:pic macro="[0]!Feuil14.Supprimer_Energie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244072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1017510</xdr:colOff>
      <xdr:row>0</xdr:row>
      <xdr:rowOff>0</xdr:rowOff>
    </xdr:from>
    <xdr:to>
      <xdr:col>6</xdr:col>
      <xdr:colOff>596319</xdr:colOff>
      <xdr:row>1</xdr:row>
      <xdr:rowOff>252390</xdr:rowOff>
    </xdr:to>
    <xdr:pic macro="[0]!Feuil14.Trier_Energies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589635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771525</xdr:colOff>
      <xdr:row>0</xdr:row>
      <xdr:rowOff>19049</xdr:rowOff>
    </xdr:from>
    <xdr:to>
      <xdr:col>5</xdr:col>
      <xdr:colOff>341517</xdr:colOff>
      <xdr:row>1</xdr:row>
      <xdr:rowOff>238125</xdr:rowOff>
    </xdr:to>
    <xdr:pic macro="[0]!Feuil14.Afficher_Form_Ajout_Energies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53402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370351</xdr:colOff>
      <xdr:row>0</xdr:row>
      <xdr:rowOff>0</xdr:rowOff>
    </xdr:from>
    <xdr:to>
      <xdr:col>5</xdr:col>
      <xdr:colOff>996516</xdr:colOff>
      <xdr:row>1</xdr:row>
      <xdr:rowOff>228600</xdr:rowOff>
    </xdr:to>
    <xdr:pic macro="[0]!Feuil14.Afficher_Form_Modif_Energie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18060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1417559</xdr:colOff>
      <xdr:row>0</xdr:row>
      <xdr:rowOff>19049</xdr:rowOff>
    </xdr:from>
    <xdr:to>
      <xdr:col>7</xdr:col>
      <xdr:colOff>2003482</xdr:colOff>
      <xdr:row>2</xdr:row>
      <xdr:rowOff>45767</xdr:rowOff>
    </xdr:to>
    <xdr:pic>
      <xdr:nvPicPr>
        <xdr:cNvPr id="3" name="Image 2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752059" y="19049"/>
          <a:ext cx="585923" cy="607743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757547</xdr:colOff>
      <xdr:row>0</xdr:row>
      <xdr:rowOff>16650</xdr:rowOff>
    </xdr:from>
    <xdr:to>
      <xdr:col>7</xdr:col>
      <xdr:colOff>1361427</xdr:colOff>
      <xdr:row>2</xdr:row>
      <xdr:rowOff>28575</xdr:rowOff>
    </xdr:to>
    <xdr:pic macro="[0]!Feuil15.Supprimer_Points_Consommation">
      <xdr:nvPicPr>
        <xdr:cNvPr id="5" name="Image 4" descr="Bouton_Supprim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092047" y="16650"/>
          <a:ext cx="603880" cy="59295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103110</xdr:colOff>
      <xdr:row>0</xdr:row>
      <xdr:rowOff>0</xdr:rowOff>
    </xdr:from>
    <xdr:to>
      <xdr:col>7</xdr:col>
      <xdr:colOff>729669</xdr:colOff>
      <xdr:row>2</xdr:row>
      <xdr:rowOff>52365</xdr:rowOff>
    </xdr:to>
    <xdr:pic macro="[0]!Feuil15.Trier_Points_Consommation">
      <xdr:nvPicPr>
        <xdr:cNvPr id="6" name="Image 5" descr="Bouton_Tri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9437610" y="0"/>
          <a:ext cx="626559" cy="63339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657225</xdr:colOff>
      <xdr:row>0</xdr:row>
      <xdr:rowOff>19049</xdr:rowOff>
    </xdr:from>
    <xdr:to>
      <xdr:col>6</xdr:col>
      <xdr:colOff>351042</xdr:colOff>
      <xdr:row>2</xdr:row>
      <xdr:rowOff>38100</xdr:rowOff>
    </xdr:to>
    <xdr:pic macro="[0]!Feuil15.Afficher_Form_Ajout_Points_Consommation">
      <xdr:nvPicPr>
        <xdr:cNvPr id="7" name="Image 6" descr="Bouton_Ajouter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43875" y="19049"/>
          <a:ext cx="617742" cy="600076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379876</xdr:colOff>
      <xdr:row>0</xdr:row>
      <xdr:rowOff>0</xdr:rowOff>
    </xdr:from>
    <xdr:to>
      <xdr:col>7</xdr:col>
      <xdr:colOff>82116</xdr:colOff>
      <xdr:row>2</xdr:row>
      <xdr:rowOff>28575</xdr:rowOff>
    </xdr:to>
    <xdr:pic macro="[0]!Feuil15.Afficher_Form_Modif_Points_Consommation">
      <xdr:nvPicPr>
        <xdr:cNvPr id="8" name="Image 7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8790451" y="0"/>
          <a:ext cx="626165" cy="609600"/>
        </a:xfrm>
        <a:prstGeom prst="rect">
          <a:avLst/>
        </a:prstGeom>
      </xdr:spPr>
    </xdr:pic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15</xdr:row>
      <xdr:rowOff>76200</xdr:rowOff>
    </xdr:from>
    <xdr:to>
      <xdr:col>4</xdr:col>
      <xdr:colOff>1409700</xdr:colOff>
      <xdr:row>32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774949</xdr:colOff>
      <xdr:row>1</xdr:row>
      <xdr:rowOff>9525</xdr:rowOff>
    </xdr:from>
    <xdr:to>
      <xdr:col>3</xdr:col>
      <xdr:colOff>1371850</xdr:colOff>
      <xdr:row>4</xdr:row>
      <xdr:rowOff>114300</xdr:rowOff>
    </xdr:to>
    <xdr:pic>
      <xdr:nvPicPr>
        <xdr:cNvPr id="3" name="Image 2" descr="Icone_Accueil.png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813799" y="171450"/>
          <a:ext cx="596901" cy="619125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142875</xdr:colOff>
      <xdr:row>1</xdr:row>
      <xdr:rowOff>17459</xdr:rowOff>
    </xdr:from>
    <xdr:to>
      <xdr:col>3</xdr:col>
      <xdr:colOff>742950</xdr:colOff>
      <xdr:row>4</xdr:row>
      <xdr:rowOff>93643</xdr:rowOff>
    </xdr:to>
    <xdr:pic macro="[0]!Actualiser_TCD"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181725" y="179384"/>
          <a:ext cx="600075" cy="590534"/>
        </a:xfrm>
        <a:prstGeom prst="rect">
          <a:avLst/>
        </a:prstGeom>
        <a:noFill/>
      </xdr:spPr>
    </xdr:pic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466725</xdr:colOff>
      <xdr:row>0</xdr:row>
      <xdr:rowOff>66675</xdr:rowOff>
    </xdr:from>
    <xdr:to>
      <xdr:col>2</xdr:col>
      <xdr:colOff>1086100</xdr:colOff>
      <xdr:row>2</xdr:row>
      <xdr:rowOff>109036</xdr:rowOff>
    </xdr:to>
    <xdr:pic>
      <xdr:nvPicPr>
        <xdr:cNvPr id="2" name="Image 1" descr="Icone_Accueil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24375" y="66675"/>
          <a:ext cx="619375" cy="642436"/>
        </a:xfrm>
        <a:prstGeom prst="rect">
          <a:avLst/>
        </a:prstGeom>
      </xdr:spPr>
    </xdr:pic>
    <xdr:clientData/>
  </xdr:twoCellAnchor>
  <xdr:oneCellAnchor>
    <xdr:from>
      <xdr:col>2</xdr:col>
      <xdr:colOff>225209</xdr:colOff>
      <xdr:row>4</xdr:row>
      <xdr:rowOff>114300</xdr:rowOff>
    </xdr:from>
    <xdr:ext cx="6435736" cy="2581732"/>
    <xdr:sp macro="" textlink="">
      <xdr:nvSpPr>
        <xdr:cNvPr id="3" name="ZoneTexte 2"/>
        <xdr:cNvSpPr txBox="1"/>
      </xdr:nvSpPr>
      <xdr:spPr>
        <a:xfrm>
          <a:off x="4282859" y="1095375"/>
          <a:ext cx="6435736" cy="2581732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pPr algn="ctr"/>
          <a:r>
            <a:rPr lang="fr-FR" sz="1600" b="1"/>
            <a:t>Utilisation du classeur :</a:t>
          </a:r>
        </a:p>
        <a:p>
          <a:r>
            <a:rPr lang="fr-FR" sz="1100" b="1" baseline="0">
              <a:solidFill>
                <a:srgbClr val="FFFF00"/>
              </a:solidFill>
              <a:latin typeface="+mn-lt"/>
              <a:ea typeface="+mn-ea"/>
              <a:cs typeface="+mn-cs"/>
            </a:rPr>
            <a:t>Actions interdites :</a:t>
          </a:r>
          <a:endParaRPr lang="fr-FR">
            <a:solidFill>
              <a:srgbClr val="FFFF00"/>
            </a:solidFill>
          </a:endParaRPr>
        </a:p>
        <a:p>
          <a:r>
            <a:rPr lang="fr-FR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- modifier la structure du classeur : changer le nom des feuilles, supprimer des feuilles livrées avec le classeur</a:t>
          </a:r>
          <a:endParaRPr lang="fr-FR"/>
        </a:p>
        <a:p>
          <a:r>
            <a:rPr lang="fr-FR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- modifier certaines données : changer les entêtes des colonnes, changer les noms attribués aux cellules</a:t>
          </a:r>
        </a:p>
        <a:p>
          <a:r>
            <a:rPr lang="fr-FR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- modifier les formules</a:t>
          </a:r>
          <a:endParaRPr lang="fr-FR"/>
        </a:p>
        <a:p>
          <a:r>
            <a:rPr lang="fr-FR" sz="1100" b="1">
              <a:solidFill>
                <a:srgbClr val="FFFF00"/>
              </a:solidFill>
            </a:rPr>
            <a:t>1 - Renseignez d'abord la</a:t>
          </a:r>
          <a:r>
            <a:rPr lang="fr-FR" sz="1100" b="1" baseline="0">
              <a:solidFill>
                <a:srgbClr val="FFFF00"/>
              </a:solidFill>
            </a:rPr>
            <a:t> </a:t>
          </a:r>
          <a:r>
            <a:rPr lang="fr-FR" sz="1100" b="1">
              <a:solidFill>
                <a:srgbClr val="FFFF00"/>
              </a:solidFill>
            </a:rPr>
            <a:t>feuille Paramètres et les feuilles de référence :</a:t>
          </a:r>
        </a:p>
        <a:p>
          <a:r>
            <a:rPr lang="fr-FR" sz="1100"/>
            <a:t>- Catégories  de bâtiments, Bâtiments</a:t>
          </a:r>
        </a:p>
        <a:p>
          <a:r>
            <a:rPr lang="fr-FR" sz="1100"/>
            <a:t>- Chantiers, Services,</a:t>
          </a:r>
          <a:r>
            <a:rPr lang="fr-FR" sz="1100" baseline="0"/>
            <a:t> Agents, Imputations, Fournisseurs</a:t>
          </a:r>
        </a:p>
        <a:p>
          <a:r>
            <a:rPr lang="fr-FR" sz="1100" baseline="0"/>
            <a:t>- Fluides et Energies, Points de consommations</a:t>
          </a:r>
        </a:p>
        <a:p>
          <a:r>
            <a:rPr lang="fr-FR" sz="1100" b="1" baseline="0">
              <a:solidFill>
                <a:srgbClr val="FFFF00"/>
              </a:solidFill>
            </a:rPr>
            <a:t>2 - Gérez vos données  :</a:t>
          </a:r>
        </a:p>
        <a:p>
          <a:r>
            <a:rPr lang="fr-FR" sz="1100" baseline="0"/>
            <a:t>- utilisez  les boutons Ajouter, Modifier, Trier, Supprimer</a:t>
          </a:r>
        </a:p>
        <a:p>
          <a:r>
            <a:rPr lang="fr-FR" sz="1100" b="1" baseline="0">
              <a:solidFill>
                <a:srgbClr val="FFFF00"/>
              </a:solidFill>
            </a:rPr>
            <a:t>3 - Ajoutez de nouvelles synthèses :</a:t>
          </a:r>
        </a:p>
        <a:p>
          <a:r>
            <a:rPr lang="fr-FR" sz="1100" baseline="0"/>
            <a:t>- créez de nouveaux tableaux croisés dynamiques à partir des feuilles existantes</a:t>
          </a:r>
        </a:p>
        <a:p>
          <a:endParaRPr lang="fr-FR" sz="1100"/>
        </a:p>
      </xdr:txBody>
    </xdr:sp>
    <xdr:clientData/>
  </xdr:oneCellAnchor>
  <xdr:twoCellAnchor editAs="oneCell">
    <xdr:from>
      <xdr:col>2</xdr:col>
      <xdr:colOff>491057</xdr:colOff>
      <xdr:row>83</xdr:row>
      <xdr:rowOff>85725</xdr:rowOff>
    </xdr:from>
    <xdr:to>
      <xdr:col>2</xdr:col>
      <xdr:colOff>1086143</xdr:colOff>
      <xdr:row>87</xdr:row>
      <xdr:rowOff>57455</xdr:rowOff>
    </xdr:to>
    <xdr:pic macro="[0]!Réglages">
      <xdr:nvPicPr>
        <xdr:cNvPr id="5" name="Image 4" descr="Icone_Paramètres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48707" y="11725275"/>
          <a:ext cx="595086" cy="619430"/>
        </a:xfrm>
        <a:prstGeom prst="rect">
          <a:avLst/>
        </a:prstGeom>
      </xdr:spPr>
    </xdr:pic>
    <xdr:clientData/>
  </xdr:twoCellAnchor>
  <xdr:oneCellAnchor>
    <xdr:from>
      <xdr:col>2</xdr:col>
      <xdr:colOff>219075</xdr:colOff>
      <xdr:row>20</xdr:row>
      <xdr:rowOff>161924</xdr:rowOff>
    </xdr:from>
    <xdr:ext cx="6410325" cy="3886201"/>
    <xdr:sp macro="" textlink="">
      <xdr:nvSpPr>
        <xdr:cNvPr id="6" name="ZoneTexte 5"/>
        <xdr:cNvSpPr txBox="1"/>
      </xdr:nvSpPr>
      <xdr:spPr>
        <a:xfrm>
          <a:off x="4276725" y="3733799"/>
          <a:ext cx="6410325" cy="388620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800" b="1">
              <a:solidFill>
                <a:srgbClr val="FFFF00"/>
              </a:solidFill>
            </a:rPr>
            <a:t>Reste à faire</a:t>
          </a:r>
        </a:p>
        <a:p>
          <a:endParaRPr lang="fr-FR" sz="1100"/>
        </a:p>
        <a:p>
          <a:r>
            <a:rPr lang="fr-FR" sz="1100" b="1">
              <a:solidFill>
                <a:srgbClr val="FFFF00"/>
              </a:solidFill>
            </a:rPr>
            <a:t>Contrats</a:t>
          </a:r>
          <a:r>
            <a:rPr lang="fr-FR" sz="1100" b="1" baseline="0">
              <a:solidFill>
                <a:srgbClr val="FFFF00"/>
              </a:solidFill>
            </a:rPr>
            <a:t> :</a:t>
          </a:r>
        </a:p>
        <a:p>
          <a:r>
            <a:rPr lang="fr-FR" sz="1100" baseline="0"/>
            <a:t>- table Types de Contrats (maintenance, entretien)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avec gestion de valeur par défaut</a:t>
          </a:r>
        </a:p>
        <a:p>
          <a:r>
            <a:rPr lang="fr-FR" sz="1100" baseline="0"/>
            <a:t>- feuille Contrats (type, élément, tiers, début, fin, durée, montant annuel, calcul d'échéance, etc...)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FF00"/>
              </a:solidFill>
            </a:rPr>
            <a:t>Contrôles :</a:t>
          </a:r>
        </a:p>
        <a:p>
          <a:r>
            <a:rPr lang="fr-FR" sz="1100" baseline="0"/>
            <a:t>- table Types de Contrôles (sécurité, technique, etc...) avec gestion de valeur par défaut</a:t>
          </a:r>
        </a:p>
        <a:p>
          <a:r>
            <a:rPr lang="fr-FR" sz="1100" baseline="0"/>
            <a:t>- feuille Contrôles (type, élément, tiers, date, diagnostic, date prochain , document lié, coût)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FF00"/>
              </a:solidFill>
            </a:rPr>
            <a:t>Interventions :</a:t>
          </a:r>
        </a:p>
        <a:p>
          <a:r>
            <a:rPr lang="fr-FR" sz="1100" baseline="0"/>
            <a:t>- calcul période, année</a:t>
          </a:r>
        </a:p>
        <a:p>
          <a:r>
            <a:rPr lang="fr-FR" sz="1100" baseline="0"/>
            <a:t>- synthèses (par période ou année  / service / catégorie de bâtiment, etc...)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1899.64611076389" createdVersion="3" refreshedVersion="3" minRefreshableVersion="3" recordCount="15">
  <cacheSource type="worksheet">
    <worksheetSource ref="A3:L18" sheet="Lignes commandes"/>
  </cacheSource>
  <cacheFields count="12">
    <cacheField name="Numéro de commande" numFmtId="0">
      <sharedItems containsBlank="1" count="6">
        <s v="BAT140036"/>
        <s v="BAT140037"/>
        <s v="BAT140038"/>
        <s v="BAT140040"/>
        <m u="1"/>
        <s v="BAT140039" u="1"/>
      </sharedItems>
    </cacheField>
    <cacheField name="Objet" numFmtId="0">
      <sharedItems/>
    </cacheField>
    <cacheField name="Imputation" numFmtId="0">
      <sharedItems/>
    </cacheField>
    <cacheField name="Quantité" numFmtId="0">
      <sharedItems containsSemiMixedTypes="0" containsString="0" containsNumber="1" containsInteger="1" minValue="1" maxValue="20"/>
    </cacheField>
    <cacheField name="PUHT" numFmtId="173">
      <sharedItems containsSemiMixedTypes="0" containsString="0" containsNumber="1" minValue="0.8" maxValue="425"/>
    </cacheField>
    <cacheField name="Taux de TVA" numFmtId="10">
      <sharedItems containsSemiMixedTypes="0" containsString="0" containsNumber="1" minValue="0.19599999487400055" maxValue="0.20000000298023224"/>
    </cacheField>
    <cacheField name="Observations" numFmtId="164">
      <sharedItems containsNonDate="0" containsString="0" containsBlank="1"/>
    </cacheField>
    <cacheField name="Intervention" numFmtId="164">
      <sharedItems containsBlank="1"/>
    </cacheField>
    <cacheField name="Montant HT" numFmtId="173">
      <sharedItems containsSemiMixedTypes="0" containsString="0" containsNumber="1" minValue="12" maxValue="5950"/>
    </cacheField>
    <cacheField name="Montant TTC" numFmtId="173">
      <sharedItems containsSemiMixedTypes="0" containsString="0" containsNumber="1" minValue="14.400000035762787" maxValue="7140"/>
    </cacheField>
    <cacheField name="Section" numFmtId="0">
      <sharedItems/>
    </cacheField>
    <cacheField name="Imputation_Complète" numFmtId="0">
      <sharedItems count="4">
        <s v="TEC / 020 / 60223 / BAT"/>
        <s v="TEC / 020 / 2183 / BAT"/>
        <s v="TEC / 20 / 60223 / ADM"/>
        <s v="" u="1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dev" refreshedDate="41899.647707060183" createdVersion="3" refreshedVersion="3" minRefreshableVersion="3" recordCount="25">
  <cacheSource type="worksheet">
    <worksheetSource ref="A3:T10001" sheet="Factures Fluides et Energies"/>
  </cacheSource>
  <cacheFields count="20">
    <cacheField name="Compteur" numFmtId="0">
      <sharedItems containsString="0" containsBlank="1" containsNumber="1" containsInteger="1" minValue="100" maxValue="112"/>
    </cacheField>
    <cacheField name="Date de facture" numFmtId="14">
      <sharedItems containsNonDate="0" containsDate="1" containsString="0" containsBlank="1" minDate="2014-01-02T00:00:00" maxDate="2014-03-02T00:00:00" count="5">
        <d v="2014-02-01T00:00:00"/>
        <d v="2014-01-02T00:00:00"/>
        <d v="2014-01-03T00:00:00"/>
        <m/>
        <d v="2014-03-01T00:00:00" u="1"/>
      </sharedItems>
    </cacheField>
    <cacheField name="Fluide ou énergie" numFmtId="0">
      <sharedItems containsBlank="1" count="8">
        <s v="Internet"/>
        <s v="Téléphone"/>
        <s v="Gaz"/>
        <s v="Electricité"/>
        <s v="Eau"/>
        <s v="Fuel"/>
        <m/>
        <s v="" u="1"/>
      </sharedItems>
    </cacheField>
    <cacheField name="Bâtiment" numFmtId="0">
      <sharedItems containsBlank="1" count="4">
        <s v="BA001 - Hôtel de ville"/>
        <s v="BA002 - Groupe scolaire des Myosotis"/>
        <s v="BA003 - Groupe scolaire des Cerisiers"/>
        <m/>
      </sharedItems>
    </cacheField>
    <cacheField name="Périodicité" numFmtId="0">
      <sharedItems containsBlank="1"/>
    </cacheField>
    <cacheField name="Début de période conso" numFmtId="14">
      <sharedItems containsNonDate="0" containsDate="1" containsString="0" containsBlank="1" minDate="2013-08-01T00:00:00" maxDate="2014-05-02T00:00:00"/>
    </cacheField>
    <cacheField name="Fin de période conso" numFmtId="14">
      <sharedItems containsNonDate="0" containsDate="1" containsString="0" containsBlank="1" minDate="2014-01-31T00:00:00" maxDate="2014-06-01T00:00:00"/>
    </cacheField>
    <cacheField name="Période" numFmtId="14">
      <sharedItems containsBlank="1" count="11">
        <s v="2014-01 / 2014-01"/>
        <s v="2014-01 / 2014-03"/>
        <s v="2014-01 / 2014-02"/>
        <s v="2014-03 / 2014-03"/>
        <s v="2014-04 / 2014-04"/>
        <s v="2014-05 / 2014-05"/>
        <s v="2014-02 / 2014-02"/>
        <s v="2013-08 / 2014-01"/>
        <s v="2013-12 / 2014-01"/>
        <m/>
        <s v="2013-01 / 2014-01" u="1"/>
      </sharedItems>
    </cacheField>
    <cacheField name="Ancien index" numFmtId="0">
      <sharedItems containsString="0" containsBlank="1" containsNumber="1" containsInteger="1" minValue="0" maxValue="11000"/>
    </cacheField>
    <cacheField name="Nouvel index" numFmtId="0">
      <sharedItems containsString="0" containsBlank="1" containsNumber="1" containsInteger="1" minValue="0" maxValue="11100"/>
    </cacheField>
    <cacheField name="Consommation" numFmtId="0">
      <sharedItems containsString="0" containsBlank="1" containsNumber="1" containsInteger="1" minValue="0" maxValue="150"/>
    </cacheField>
    <cacheField name="Unité" numFmtId="0">
      <sharedItems containsBlank="1"/>
    </cacheField>
    <cacheField name="Montant abonnement" numFmtId="166">
      <sharedItems containsString="0" containsBlank="1" containsNumber="1" minValue="18" maxValue="78"/>
    </cacheField>
    <cacheField name="Taux de TVA abonnement" numFmtId="10">
      <sharedItems containsString="0" containsBlank="1" containsNumber="1" minValue="0.2" maxValue="0.2"/>
    </cacheField>
    <cacheField name="Montant taxes" numFmtId="166">
      <sharedItems containsString="0" containsBlank="1" containsNumber="1" containsInteger="1" minValue="0" maxValue="83"/>
    </cacheField>
    <cacheField name="Montant consommations" numFmtId="166">
      <sharedItems containsString="0" containsBlank="1" containsNumber="1" containsInteger="1" minValue="0" maxValue="782"/>
    </cacheField>
    <cacheField name="Taux de TVA consommations" numFmtId="10">
      <sharedItems containsString="0" containsBlank="1" containsNumber="1" minValue="0" maxValue="0.20000000298023224"/>
    </cacheField>
    <cacheField name="Montant total" numFmtId="166">
      <sharedItems containsString="0" containsBlank="1" containsNumber="1" minValue="47.879999999999995" maxValue="884.00999976694584"/>
    </cacheField>
    <cacheField name="Observations" numFmtId="0">
      <sharedItems containsNonDate="0" containsString="0" containsBlank="1"/>
    </cacheField>
    <cacheField name="Catégorie de bâtiment" numFmtId="0">
      <sharedItems containsBlank="1" count="5">
        <s v="Administration"/>
        <s v="Enseignement"/>
        <m/>
        <s v="" u="1"/>
        <e v="#N/A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s v="Coffret forets bois luxe"/>
    <s v="FOUBAT"/>
    <n v="3"/>
    <n v="142"/>
    <n v="0.2"/>
    <m/>
    <s v="BA1400045"/>
    <n v="426"/>
    <n v="511.2"/>
    <s v="Fonctionnement"/>
    <x v="0"/>
  </r>
  <r>
    <x v="0"/>
    <s v="Coffret gouges "/>
    <s v="FOUBAT"/>
    <n v="2"/>
    <n v="98"/>
    <n v="0.20000000298023224"/>
    <m/>
    <s v="BA1400045"/>
    <n v="196"/>
    <n v="235.20000058412552"/>
    <s v="Fonctionnement"/>
    <x v="0"/>
  </r>
  <r>
    <x v="0"/>
    <s v="Disques ponçage"/>
    <s v="FOUBAT"/>
    <n v="10"/>
    <n v="5.6"/>
    <n v="0.2"/>
    <m/>
    <s v="BA1400045"/>
    <n v="56"/>
    <n v="67.2"/>
    <s v="Fonctionnement"/>
    <x v="0"/>
  </r>
  <r>
    <x v="0"/>
    <s v="Ponceuse Bosch RG123"/>
    <s v="MATBAT"/>
    <n v="1"/>
    <n v="200"/>
    <n v="0.20000000298023224"/>
    <m/>
    <m/>
    <n v="200"/>
    <n v="240.00000059604645"/>
    <s v="Investissement"/>
    <x v="1"/>
  </r>
  <r>
    <x v="0"/>
    <s v="Perceuse Black et Decker AR45"/>
    <s v="MATBAT"/>
    <n v="1"/>
    <n v="134"/>
    <n v="0.2"/>
    <m/>
    <m/>
    <n v="134"/>
    <n v="160.79999999999998"/>
    <s v="Investissement"/>
    <x v="1"/>
  </r>
  <r>
    <x v="1"/>
    <s v="Peinture plafond"/>
    <s v="FOUBAT"/>
    <n v="5"/>
    <n v="50"/>
    <n v="0.2"/>
    <m/>
    <s v="BA1400046"/>
    <n v="250"/>
    <n v="300"/>
    <s v="Fonctionnement"/>
    <x v="0"/>
  </r>
  <r>
    <x v="1"/>
    <s v="Peinture murs"/>
    <s v="FOUBAT"/>
    <n v="15"/>
    <n v="45"/>
    <n v="0.19599999487400055"/>
    <m/>
    <s v="BA1400046"/>
    <n v="675"/>
    <n v="807.29999653995037"/>
    <s v="Fonctionnement"/>
    <x v="0"/>
  </r>
  <r>
    <x v="1"/>
    <s v="Brosses à reluire"/>
    <s v="FOUBAT"/>
    <n v="3"/>
    <n v="4"/>
    <n v="0.20000000298023224"/>
    <m/>
    <s v="BA1400046"/>
    <n v="12"/>
    <n v="14.400000035762787"/>
    <s v="Fonctionnement"/>
    <x v="0"/>
  </r>
  <r>
    <x v="2"/>
    <s v="Disques meulage"/>
    <s v="FOUBAT"/>
    <n v="12"/>
    <n v="7.35"/>
    <n v="0.2"/>
    <m/>
    <s v="BA1400047"/>
    <n v="88.199999999999989"/>
    <n v="105.83999999999999"/>
    <s v="Fonctionnement"/>
    <x v="0"/>
  </r>
  <r>
    <x v="2"/>
    <s v="Meuleuse Ricoh AKD285"/>
    <s v="MATBAT"/>
    <n v="1"/>
    <n v="175"/>
    <n v="0.2"/>
    <m/>
    <s v="BA1400047"/>
    <n v="175"/>
    <n v="210"/>
    <s v="Investissement"/>
    <x v="1"/>
  </r>
  <r>
    <x v="2"/>
    <s v="Masques de protection"/>
    <s v="FOUBAT"/>
    <n v="20"/>
    <n v="0.8"/>
    <n v="0.2"/>
    <m/>
    <s v="BA1400047"/>
    <n v="16"/>
    <n v="19.2"/>
    <s v="Fonctionnement"/>
    <x v="0"/>
  </r>
  <r>
    <x v="3"/>
    <s v="Kits fenêtres doubles PVC complets"/>
    <s v="MATBAT"/>
    <n v="14"/>
    <n v="425"/>
    <n v="0.2"/>
    <m/>
    <s v="BA1400047"/>
    <n v="5950"/>
    <n v="7140"/>
    <s v="Investissement"/>
    <x v="1"/>
  </r>
  <r>
    <x v="3"/>
    <s v="Pistolets joint silicone"/>
    <s v="FOUBAT"/>
    <n v="12"/>
    <n v="17.5"/>
    <n v="0.20000000298023224"/>
    <m/>
    <s v="BA1400047"/>
    <n v="210"/>
    <n v="252.00000062584877"/>
    <s v="Fonctionnement"/>
    <x v="0"/>
  </r>
  <r>
    <x v="3"/>
    <s v="Sacs poubelle 30 litres pour la mairie"/>
    <s v="FOUADM"/>
    <n v="5"/>
    <n v="11.85"/>
    <n v="0.20000000298023224"/>
    <m/>
    <m/>
    <n v="59.25"/>
    <n v="71.10000017657876"/>
    <s v="Fonctionnement"/>
    <x v="2"/>
  </r>
  <r>
    <x v="3"/>
    <s v="Diverses fournitures de peinture"/>
    <s v="FOUBAT"/>
    <n v="1"/>
    <n v="281"/>
    <n v="0.20000000298023224"/>
    <m/>
    <m/>
    <n v="281"/>
    <n v="337.20000083744526"/>
    <s v="Fonctionnement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5">
  <r>
    <n v="102"/>
    <x v="0"/>
    <x v="0"/>
    <x v="0"/>
    <s v="Mensuelle"/>
    <d v="2014-01-01T00:00:00"/>
    <d v="2014-01-31T00:00:00"/>
    <x v="0"/>
    <n v="0"/>
    <n v="0"/>
    <n v="0"/>
    <s v=""/>
    <n v="45.8"/>
    <n v="0.2"/>
    <n v="0"/>
    <n v="0"/>
    <n v="0.20000000298023224"/>
    <n v="54.959999999999994"/>
    <m/>
    <x v="0"/>
  </r>
  <r>
    <n v="103"/>
    <x v="1"/>
    <x v="1"/>
    <x v="0"/>
    <s v="Bi-mensuelle"/>
    <d v="2014-01-12T00:00:00"/>
    <d v="2014-03-31T00:00:00"/>
    <x v="1"/>
    <n v="0"/>
    <n v="0"/>
    <n v="0"/>
    <s v=""/>
    <n v="20"/>
    <n v="0.2"/>
    <n v="0"/>
    <n v="112"/>
    <n v="0"/>
    <n v="136"/>
    <m/>
    <x v="0"/>
  </r>
  <r>
    <n v="101"/>
    <x v="0"/>
    <x v="2"/>
    <x v="0"/>
    <s v="Mensuelle"/>
    <d v="2014-01-01T00:00:00"/>
    <d v="2014-01-31T00:00:00"/>
    <x v="0"/>
    <n v="2000"/>
    <n v="2100"/>
    <n v="100"/>
    <s v="m3"/>
    <n v="78"/>
    <n v="0.2"/>
    <n v="2"/>
    <n v="452"/>
    <m/>
    <n v="547.6"/>
    <m/>
    <x v="0"/>
  </r>
  <r>
    <n v="100"/>
    <x v="0"/>
    <x v="3"/>
    <x v="0"/>
    <s v="Mensuelle"/>
    <d v="2014-01-01T00:00:00"/>
    <d v="2014-01-31T00:00:00"/>
    <x v="0"/>
    <n v="1000"/>
    <n v="1100"/>
    <n v="100"/>
    <s v="kw/h"/>
    <n v="45"/>
    <n v="0.2"/>
    <n v="5"/>
    <n v="782"/>
    <n v="5.4999999701976776E-2"/>
    <n v="884.00999976694584"/>
    <m/>
    <x v="0"/>
  </r>
  <r>
    <n v="100"/>
    <x v="2"/>
    <x v="3"/>
    <x v="0"/>
    <s v="Mensuelle"/>
    <d v="2014-01-02T00:00:00"/>
    <d v="2014-02-28T00:00:00"/>
    <x v="2"/>
    <n v="1100"/>
    <n v="1220"/>
    <n v="120"/>
    <s v="kw/h"/>
    <n v="45"/>
    <n v="0.2"/>
    <n v="5"/>
    <n v="765"/>
    <n v="5.4999999701976776E-2"/>
    <n v="866.07499977201223"/>
    <m/>
    <x v="0"/>
  </r>
  <r>
    <n v="100"/>
    <x v="0"/>
    <x v="3"/>
    <x v="0"/>
    <s v="Mensuelle"/>
    <d v="2014-03-01T00:00:00"/>
    <d v="2014-03-31T00:00:00"/>
    <x v="3"/>
    <n v="1100"/>
    <n v="1250"/>
    <n v="150"/>
    <s v="kw/h"/>
    <n v="45"/>
    <n v="0.2"/>
    <n v="5"/>
    <n v="656"/>
    <n v="5.5E-2"/>
    <n v="751.07999999999993"/>
    <m/>
    <x v="0"/>
  </r>
  <r>
    <n v="100"/>
    <x v="0"/>
    <x v="3"/>
    <x v="0"/>
    <s v="Mensuelle"/>
    <d v="2014-04-01T00:00:00"/>
    <d v="2014-04-30T00:00:00"/>
    <x v="4"/>
    <n v="1380"/>
    <n v="1500"/>
    <n v="120"/>
    <s v="kw/h"/>
    <n v="45"/>
    <n v="0.2"/>
    <n v="5"/>
    <n v="592"/>
    <n v="5.4999999701976776E-2"/>
    <n v="683.55999982357025"/>
    <m/>
    <x v="0"/>
  </r>
  <r>
    <n v="100"/>
    <x v="0"/>
    <x v="3"/>
    <x v="0"/>
    <s v="Mensuelle"/>
    <d v="2014-05-01T00:00:00"/>
    <d v="2014-05-31T00:00:00"/>
    <x v="5"/>
    <n v="1250"/>
    <n v="1380"/>
    <n v="130"/>
    <s v="kw/h"/>
    <n v="45"/>
    <n v="0.2"/>
    <n v="5"/>
    <n v="421"/>
    <n v="5.5E-2"/>
    <n v="503.15499999999997"/>
    <m/>
    <x v="0"/>
  </r>
  <r>
    <n v="104"/>
    <x v="0"/>
    <x v="3"/>
    <x v="1"/>
    <s v="Mensuelle"/>
    <d v="2014-01-01T00:00:00"/>
    <d v="2014-01-31T00:00:00"/>
    <x v="0"/>
    <n v="5000"/>
    <n v="5100"/>
    <n v="100"/>
    <s v="kw/h"/>
    <n v="45"/>
    <n v="0.2"/>
    <n v="5"/>
    <n v="656"/>
    <n v="5.5E-2"/>
    <n v="751.07999999999993"/>
    <m/>
    <x v="1"/>
  </r>
  <r>
    <n v="104"/>
    <x v="0"/>
    <x v="3"/>
    <x v="1"/>
    <s v="Mensuelle"/>
    <d v="2014-02-01T00:00:00"/>
    <d v="2014-02-28T00:00:00"/>
    <x v="6"/>
    <n v="5100"/>
    <n v="5250"/>
    <n v="150"/>
    <s v="kw/h"/>
    <n v="45"/>
    <n v="0.2"/>
    <n v="5"/>
    <n v="656"/>
    <n v="5.5E-2"/>
    <n v="751.07999999999993"/>
    <m/>
    <x v="1"/>
  </r>
  <r>
    <n v="104"/>
    <x v="0"/>
    <x v="3"/>
    <x v="1"/>
    <s v="Mensuelle"/>
    <d v="2014-03-01T00:00:00"/>
    <d v="2014-03-31T00:00:00"/>
    <x v="3"/>
    <n v="5250"/>
    <n v="5380"/>
    <n v="130"/>
    <s v="kw/h"/>
    <n v="45"/>
    <n v="0.2"/>
    <n v="5"/>
    <n v="656"/>
    <n v="5.5E-2"/>
    <n v="751.07999999999993"/>
    <m/>
    <x v="1"/>
  </r>
  <r>
    <n v="104"/>
    <x v="0"/>
    <x v="3"/>
    <x v="1"/>
    <s v="Mensuelle"/>
    <d v="2014-04-01T00:00:00"/>
    <d v="2014-04-30T00:00:00"/>
    <x v="4"/>
    <n v="5380"/>
    <n v="5450"/>
    <n v="70"/>
    <s v="kw/h"/>
    <n v="45"/>
    <n v="0.2"/>
    <n v="5"/>
    <n v="656"/>
    <n v="5.5E-2"/>
    <n v="751.07999999999993"/>
    <m/>
    <x v="1"/>
  </r>
  <r>
    <n v="109"/>
    <x v="0"/>
    <x v="3"/>
    <x v="2"/>
    <s v="Mensuelle"/>
    <d v="2014-01-01T00:00:00"/>
    <d v="2014-01-31T00:00:00"/>
    <x v="0"/>
    <n v="10000"/>
    <n v="10100"/>
    <n v="100"/>
    <s v="kw/h"/>
    <n v="45"/>
    <n v="0.2"/>
    <n v="5"/>
    <n v="483"/>
    <n v="5.5E-2"/>
    <n v="568.56500000000005"/>
    <m/>
    <x v="1"/>
  </r>
  <r>
    <n v="109"/>
    <x v="0"/>
    <x v="3"/>
    <x v="2"/>
    <s v="Mensuelle"/>
    <d v="2014-02-01T00:00:00"/>
    <d v="2014-02-28T00:00:00"/>
    <x v="6"/>
    <n v="10100"/>
    <n v="10200"/>
    <n v="100"/>
    <s v="kw/h"/>
    <n v="45"/>
    <n v="0.2"/>
    <n v="5"/>
    <n v="656"/>
    <n v="5.5E-2"/>
    <n v="751.07999999999993"/>
    <m/>
    <x v="1"/>
  </r>
  <r>
    <n v="109"/>
    <x v="0"/>
    <x v="3"/>
    <x v="2"/>
    <s v="Mensuelle"/>
    <d v="2014-03-01T00:00:00"/>
    <d v="2014-03-31T00:00:00"/>
    <x v="3"/>
    <n v="10200"/>
    <n v="10330"/>
    <n v="130"/>
    <s v="kw/h"/>
    <n v="45"/>
    <n v="0.2"/>
    <n v="5"/>
    <n v="656"/>
    <n v="5.5E-2"/>
    <n v="751.07999999999993"/>
    <m/>
    <x v="1"/>
  </r>
  <r>
    <n v="109"/>
    <x v="0"/>
    <x v="3"/>
    <x v="2"/>
    <s v="Mensuelle"/>
    <d v="2014-04-01T00:00:00"/>
    <d v="2014-04-30T00:00:00"/>
    <x v="4"/>
    <n v="10330"/>
    <n v="10450"/>
    <n v="120"/>
    <s v="kw/h"/>
    <n v="45"/>
    <n v="0.2"/>
    <n v="5"/>
    <n v="656"/>
    <n v="5.5E-2"/>
    <n v="751.07999999999993"/>
    <m/>
    <x v="1"/>
  </r>
  <r>
    <n v="106"/>
    <x v="0"/>
    <x v="2"/>
    <x v="1"/>
    <s v="Mensuelle"/>
    <d v="2014-01-01T00:00:00"/>
    <d v="2014-01-31T00:00:00"/>
    <x v="0"/>
    <n v="7000"/>
    <n v="7100"/>
    <n v="100"/>
    <s v="m3"/>
    <n v="78"/>
    <n v="0.2"/>
    <n v="22"/>
    <n v="652"/>
    <n v="5.5E-2"/>
    <n v="803.46"/>
    <m/>
    <x v="1"/>
  </r>
  <r>
    <n v="107"/>
    <x v="0"/>
    <x v="4"/>
    <x v="1"/>
    <s v="Semestrielle"/>
    <d v="2013-08-01T00:00:00"/>
    <d v="2014-01-31T00:00:00"/>
    <x v="7"/>
    <n v="8000"/>
    <n v="8100"/>
    <n v="100"/>
    <s v="m3"/>
    <n v="22"/>
    <n v="0.2"/>
    <n v="83"/>
    <n v="152"/>
    <n v="5.5E-2"/>
    <n v="269.76"/>
    <m/>
    <x v="1"/>
  </r>
  <r>
    <n v="105"/>
    <x v="0"/>
    <x v="0"/>
    <x v="1"/>
    <s v="Mensuelle"/>
    <d v="2014-01-01T00:00:00"/>
    <d v="2014-01-31T00:00:00"/>
    <x v="0"/>
    <m/>
    <m/>
    <n v="0"/>
    <s v=""/>
    <n v="39.9"/>
    <n v="0.2"/>
    <m/>
    <m/>
    <m/>
    <n v="47.879999999999995"/>
    <m/>
    <x v="1"/>
  </r>
  <r>
    <n v="108"/>
    <x v="0"/>
    <x v="1"/>
    <x v="1"/>
    <s v="Bi-mensuelle"/>
    <d v="2013-12-01T00:00:00"/>
    <d v="2014-01-31T00:00:00"/>
    <x v="8"/>
    <m/>
    <m/>
    <n v="0"/>
    <s v=""/>
    <n v="18"/>
    <n v="0.2"/>
    <m/>
    <n v="85"/>
    <n v="0.2"/>
    <n v="123.6"/>
    <m/>
    <x v="1"/>
  </r>
  <r>
    <n v="110"/>
    <x v="0"/>
    <x v="5"/>
    <x v="2"/>
    <s v="Mensuelle"/>
    <d v="2014-01-01T00:00:00"/>
    <d v="2014-01-31T00:00:00"/>
    <x v="0"/>
    <n v="11000"/>
    <n v="11100"/>
    <n v="100"/>
    <s v="litres"/>
    <m/>
    <n v="0.2"/>
    <m/>
    <n v="123"/>
    <n v="5.5E-2"/>
    <n v="129.76499999999999"/>
    <m/>
    <x v="1"/>
  </r>
  <r>
    <n v="111"/>
    <x v="0"/>
    <x v="0"/>
    <x v="2"/>
    <s v="Mensuelle"/>
    <d v="2014-01-01T00:00:00"/>
    <d v="2014-01-31T00:00:00"/>
    <x v="0"/>
    <m/>
    <m/>
    <n v="0"/>
    <s v=""/>
    <n v="39.9"/>
    <n v="0.2"/>
    <m/>
    <m/>
    <m/>
    <n v="47.879999999999995"/>
    <m/>
    <x v="1"/>
  </r>
  <r>
    <n v="112"/>
    <x v="0"/>
    <x v="1"/>
    <x v="2"/>
    <s v="Bi-mensuelle"/>
    <d v="2013-12-01T00:00:00"/>
    <d v="2014-01-31T00:00:00"/>
    <x v="8"/>
    <m/>
    <m/>
    <n v="0"/>
    <s v=""/>
    <n v="18"/>
    <m/>
    <m/>
    <n v="82"/>
    <n v="0.2"/>
    <n v="116.39999999999999"/>
    <m/>
    <x v="1"/>
  </r>
  <r>
    <m/>
    <x v="3"/>
    <x v="6"/>
    <x v="3"/>
    <m/>
    <m/>
    <m/>
    <x v="9"/>
    <m/>
    <m/>
    <m/>
    <m/>
    <m/>
    <m/>
    <m/>
    <m/>
    <m/>
    <m/>
    <m/>
    <x v="2"/>
  </r>
  <r>
    <m/>
    <x v="3"/>
    <x v="6"/>
    <x v="3"/>
    <m/>
    <m/>
    <m/>
    <x v="9"/>
    <m/>
    <m/>
    <m/>
    <m/>
    <m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C43:D47" firstHeaderRow="2" firstDataRow="2" firstDataCol="1" rowPageCount="1" colPageCount="1"/>
  <pivotFields count="12">
    <pivotField axis="axisPage" compact="0" outline="0" showAll="0">
      <items count="7">
        <item x="0"/>
        <item x="1"/>
        <item x="2"/>
        <item m="1" x="5"/>
        <item m="1"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dataField="1" compact="0" numFmtId="164" outline="0" showAll="0"/>
    <pivotField compact="0" outline="0" showAll="0"/>
    <pivotField axis="axisRow" compact="0" outline="0" showAll="0">
      <items count="5">
        <item h="1" m="1" x="3"/>
        <item x="1"/>
        <item x="0"/>
        <item h="1" x="2"/>
        <item t="default"/>
      </items>
    </pivotField>
  </pivotFields>
  <rowFields count="1">
    <field x="11"/>
  </rowFields>
  <rowItems count="3">
    <i>
      <x v="1"/>
    </i>
    <i>
      <x v="2"/>
    </i>
    <i t="grand">
      <x/>
    </i>
  </rowItems>
  <colItems count="1">
    <i/>
  </colItems>
  <pageFields count="1">
    <pageField fld="0" item="5" hier="-1"/>
  </pageFields>
  <dataFields count="1">
    <dataField name="Montants TTC" fld="9" baseField="0" baseItem="0" numFmtId="164"/>
  </dataFields>
  <formats count="1">
    <format dxfId="16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1">
  <location ref="A6:B13" firstHeaderRow="2" firstDataRow="2" firstDataCol="1" rowPageCount="4" colPageCount="1"/>
  <pivotFields count="20">
    <pivotField compact="0" outline="0" showAll="0" defaultSubtotal="0"/>
    <pivotField axis="axisPage" compact="0" outline="0" showAll="0">
      <items count="6">
        <item x="0"/>
        <item x="3"/>
        <item x="1"/>
        <item m="1" x="4"/>
        <item x="2"/>
        <item t="default"/>
      </items>
    </pivotField>
    <pivotField axis="axisPage" compact="0" outline="0" showAll="0">
      <items count="9">
        <item m="1" x="7"/>
        <item x="4"/>
        <item x="3"/>
        <item x="5"/>
        <item x="2"/>
        <item x="0"/>
        <item x="1"/>
        <item x="6"/>
        <item t="default"/>
      </items>
    </pivotField>
    <pivotField axis="axisPage" compact="0" outline="0" showAll="0" defaultSubtotal="0">
      <items count="4">
        <item x="0"/>
        <item x="1"/>
        <item x="2"/>
        <item x="3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12">
        <item x="7"/>
        <item x="8"/>
        <item x="0"/>
        <item h="1" x="9"/>
        <item x="6"/>
        <item x="3"/>
        <item x="4"/>
        <item x="5"/>
        <item m="1" x="10"/>
        <item h="1" x="1"/>
        <item h="1"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 defaultSubtotal="0">
      <items count="5">
        <item m="1" x="3"/>
        <item x="0"/>
        <item x="1"/>
        <item m="1" x="4"/>
        <item x="2"/>
      </items>
    </pivotField>
  </pivotFields>
  <rowFields count="1">
    <field x="7"/>
  </rowFields>
  <rowItems count="6">
    <i>
      <x v="2"/>
    </i>
    <i>
      <x v="4"/>
    </i>
    <i>
      <x v="5"/>
    </i>
    <i>
      <x v="6"/>
    </i>
    <i>
      <x v="7"/>
    </i>
    <i t="grand">
      <x/>
    </i>
  </rowItems>
  <colItems count="1">
    <i/>
  </colItems>
  <pageFields count="4">
    <pageField fld="19" hier="-1"/>
    <pageField fld="3" hier="-1"/>
    <pageField fld="2" item="2" hier="-1"/>
    <pageField fld="1" hier="-1"/>
  </pageFields>
  <dataFields count="1">
    <dataField name="Quantités consommées" fld="10" baseField="0" baseItem="0" numFmtId="4"/>
  </dataFields>
  <formats count="4">
    <format dxfId="3">
      <pivotArea field="7" type="button" dataOnly="0" labelOnly="1" outline="0" axis="axisRow" fieldPosition="0"/>
    </format>
    <format dxfId="2">
      <pivotArea dataOnly="0" labelOnly="1" grandCol="1" outline="0" fieldPosition="0"/>
    </format>
    <format dxfId="1">
      <pivotArea field="7" type="button" dataOnly="0" labelOnly="1" outline="0" axis="axisRow" fieldPosition="0"/>
    </format>
    <format dxfId="0">
      <pivotArea dataOnly="0" labelOnly="1" grandCol="1" outline="0" fieldPosition="0"/>
    </format>
  </format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6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9" count="1" selected="0">
            <x v="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9" count="1" selected="0">
            <x v="2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9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mailto:patrice.caratini@excel-les-bains.ff" TargetMode="External"/><Relationship Id="rId2" Type="http://schemas.openxmlformats.org/officeDocument/2006/relationships/hyperlink" Target="mailto:bernard.marchall@excel-les-bains.fr" TargetMode="External"/><Relationship Id="rId1" Type="http://schemas.openxmlformats.org/officeDocument/2006/relationships/hyperlink" Target="mailto:gerard.monin@excel-les-bains.fr" TargetMode="External"/><Relationship Id="rId5" Type="http://schemas.openxmlformats.org/officeDocument/2006/relationships/drawing" Target="../drawings/drawing11.xml"/><Relationship Id="rId4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17.bin"/><Relationship Id="rId1" Type="http://schemas.openxmlformats.org/officeDocument/2006/relationships/pivotTable" Target="../pivotTables/pivotTable2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"/>
  <dimension ref="B1:Q13"/>
  <sheetViews>
    <sheetView tabSelected="1" zoomScaleNormal="100" workbookViewId="0">
      <pane xSplit="19" ySplit="11" topLeftCell="U12" activePane="bottomRight" state="frozenSplit"/>
      <selection pane="topRight" activeCell="U1" sqref="U1"/>
      <selection pane="bottomLeft" activeCell="A12" sqref="A12"/>
      <selection pane="bottomRight" activeCell="R8" sqref="R8"/>
    </sheetView>
  </sheetViews>
  <sheetFormatPr baseColWidth="10" defaultColWidth="12.7109375" defaultRowHeight="42.75" customHeight="1"/>
  <cols>
    <col min="1" max="1" width="27.5703125" style="198" customWidth="1"/>
    <col min="2" max="2" width="31.85546875" style="198" customWidth="1"/>
    <col min="3" max="16" width="7.140625" style="198" customWidth="1"/>
    <col min="17" max="17" width="7.85546875" style="198" customWidth="1"/>
    <col min="18" max="18" width="12.7109375" style="198"/>
    <col min="19" max="19" width="27.85546875" style="198" customWidth="1"/>
    <col min="20" max="16384" width="12.7109375" style="198"/>
  </cols>
  <sheetData>
    <row r="1" spans="2:17" ht="9.75" customHeight="1"/>
    <row r="2" spans="2:17" ht="18.75" customHeight="1">
      <c r="B2" s="268" t="s">
        <v>212</v>
      </c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</row>
    <row r="3" spans="2:17" ht="9.75" customHeight="1"/>
    <row r="4" spans="2:17" ht="60" customHeight="1">
      <c r="B4" s="199"/>
    </row>
    <row r="5" spans="2:17" s="201" customFormat="1" ht="27" customHeight="1">
      <c r="B5" s="200"/>
      <c r="C5" s="266" t="s">
        <v>213</v>
      </c>
      <c r="D5" s="266"/>
      <c r="E5" s="266"/>
      <c r="F5" s="266" t="s">
        <v>214</v>
      </c>
      <c r="G5" s="266"/>
      <c r="H5" s="266"/>
      <c r="I5" s="266" t="s">
        <v>216</v>
      </c>
      <c r="J5" s="266"/>
      <c r="K5" s="266"/>
      <c r="L5" s="266" t="s">
        <v>215</v>
      </c>
      <c r="M5" s="266"/>
      <c r="N5" s="266"/>
      <c r="O5" s="266" t="s">
        <v>220</v>
      </c>
      <c r="P5" s="266"/>
      <c r="Q5" s="266"/>
    </row>
    <row r="6" spans="2:17" ht="60" customHeight="1">
      <c r="B6" s="199"/>
    </row>
    <row r="7" spans="2:17" s="201" customFormat="1" ht="27" customHeight="1">
      <c r="B7" s="200"/>
      <c r="C7" s="266" t="s">
        <v>217</v>
      </c>
      <c r="D7" s="266"/>
      <c r="E7" s="266"/>
      <c r="F7" s="266" t="s">
        <v>218</v>
      </c>
      <c r="G7" s="266"/>
      <c r="H7" s="266"/>
      <c r="I7" s="266" t="s">
        <v>237</v>
      </c>
      <c r="J7" s="266"/>
      <c r="K7" s="266"/>
      <c r="L7" s="266" t="s">
        <v>219</v>
      </c>
      <c r="M7" s="266"/>
      <c r="N7" s="266"/>
      <c r="O7" s="266" t="s">
        <v>221</v>
      </c>
      <c r="P7" s="266"/>
      <c r="Q7" s="266"/>
    </row>
    <row r="8" spans="2:17" ht="63.75" customHeight="1">
      <c r="B8" s="199"/>
    </row>
    <row r="9" spans="2:17" s="201" customFormat="1" ht="30.75" customHeight="1">
      <c r="B9" s="200"/>
      <c r="F9" s="266" t="s">
        <v>223</v>
      </c>
      <c r="G9" s="266"/>
      <c r="H9" s="266"/>
      <c r="I9" s="266" t="s">
        <v>224</v>
      </c>
      <c r="J9" s="266"/>
      <c r="K9" s="266"/>
      <c r="L9" s="266" t="s">
        <v>225</v>
      </c>
      <c r="M9" s="266"/>
      <c r="N9" s="266"/>
    </row>
    <row r="10" spans="2:17" ht="70.5" customHeight="1">
      <c r="B10" s="199"/>
    </row>
    <row r="11" spans="2:17" s="201" customFormat="1" ht="25.5" customHeight="1">
      <c r="F11" s="266" t="s">
        <v>138</v>
      </c>
      <c r="G11" s="266"/>
      <c r="H11" s="266"/>
      <c r="I11" s="266" t="s">
        <v>226</v>
      </c>
      <c r="J11" s="266"/>
      <c r="K11" s="266"/>
      <c r="L11" s="266" t="s">
        <v>227</v>
      </c>
      <c r="M11" s="266"/>
      <c r="N11" s="266"/>
      <c r="O11" s="267" t="s">
        <v>281</v>
      </c>
      <c r="P11" s="267"/>
      <c r="Q11" s="267"/>
    </row>
    <row r="12" spans="2:17" ht="264.75" customHeight="1"/>
    <row r="13" spans="2:17" ht="21.75" customHeight="1"/>
  </sheetData>
  <sheetProtection sheet="1" objects="1" scenarios="1" selectLockedCells="1"/>
  <mergeCells count="18">
    <mergeCell ref="F9:H9"/>
    <mergeCell ref="I9:K9"/>
    <mergeCell ref="L9:N9"/>
    <mergeCell ref="O11:Q11"/>
    <mergeCell ref="C5:E5"/>
    <mergeCell ref="C7:E7"/>
    <mergeCell ref="B2:Q2"/>
    <mergeCell ref="F11:H11"/>
    <mergeCell ref="I11:K11"/>
    <mergeCell ref="L11:N11"/>
    <mergeCell ref="O5:Q5"/>
    <mergeCell ref="O7:Q7"/>
    <mergeCell ref="F5:H5"/>
    <mergeCell ref="L5:N5"/>
    <mergeCell ref="I5:K5"/>
    <mergeCell ref="F7:H7"/>
    <mergeCell ref="L7:N7"/>
    <mergeCell ref="I7:K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9"/>
  <sheetViews>
    <sheetView zoomScaleNormal="100" workbookViewId="0">
      <pane xSplit="2" ySplit="3" topLeftCell="C4" activePane="bottomRight" state="frozen"/>
      <selection activeCell="B3" sqref="B3"/>
      <selection pane="topRight" activeCell="B3" sqref="B3"/>
      <selection pane="bottomLeft" activeCell="B3" sqref="B3"/>
      <selection pane="bottomRight" activeCell="F6" sqref="F6"/>
    </sheetView>
  </sheetViews>
  <sheetFormatPr baseColWidth="10" defaultRowHeight="12.75"/>
  <cols>
    <col min="2" max="2" width="29.28515625" customWidth="1"/>
    <col min="3" max="3" width="36.5703125" customWidth="1"/>
    <col min="4" max="4" width="29.28515625" customWidth="1"/>
    <col min="5" max="6" width="11.42578125" style="3"/>
    <col min="8" max="8" width="9.85546875" style="3" customWidth="1"/>
    <col min="9" max="9" width="14.7109375" style="249" customWidth="1"/>
    <col min="10" max="10" width="9" style="17" customWidth="1"/>
    <col min="11" max="11" width="11.42578125" style="253" customWidth="1"/>
    <col min="12" max="12" width="11.85546875" style="28" bestFit="1" customWidth="1"/>
  </cols>
  <sheetData>
    <row r="1" spans="1:12" s="76" customFormat="1" ht="53.25" customHeight="1">
      <c r="A1" s="146" t="str">
        <f>Collectivité&amp;" - "&amp;Service&amp;" - Fichier des interventions"</f>
        <v>Ville d'Excel-les-Bains - Patrimoine bâti - Fichier des interventions</v>
      </c>
      <c r="B1" s="112"/>
      <c r="C1" s="112"/>
      <c r="D1" s="112"/>
      <c r="E1" s="113"/>
      <c r="F1" s="113"/>
      <c r="G1" s="112"/>
      <c r="H1" s="113"/>
      <c r="I1" s="244">
        <f>SUBTOTAL(9,I3:I9)</f>
        <v>17054.339998411539</v>
      </c>
      <c r="J1" s="148">
        <f>SUBTOTAL(9,J3:J9)</f>
        <v>101</v>
      </c>
      <c r="K1" s="244">
        <f>SUBTOTAL(9,K3:K9)</f>
        <v>2587.62</v>
      </c>
      <c r="L1" s="244">
        <f>SUBTOTAL(9,L3:L9)</f>
        <v>19641.959998411534</v>
      </c>
    </row>
    <row r="2" spans="1:12" hidden="1">
      <c r="A2" s="117"/>
      <c r="B2" s="117"/>
      <c r="C2" s="117"/>
      <c r="D2" s="117"/>
      <c r="E2" s="120"/>
      <c r="F2" s="120"/>
      <c r="G2" s="117"/>
      <c r="H2" s="120"/>
      <c r="I2" s="245"/>
      <c r="J2" s="150"/>
      <c r="K2" s="250"/>
      <c r="L2" s="169"/>
    </row>
    <row r="3" spans="1:12" s="2" customFormat="1" ht="38.25">
      <c r="A3" s="5" t="s">
        <v>28</v>
      </c>
      <c r="B3" s="5" t="s">
        <v>34</v>
      </c>
      <c r="C3" s="5" t="s">
        <v>21</v>
      </c>
      <c r="D3" s="5" t="s">
        <v>84</v>
      </c>
      <c r="E3" s="4" t="s">
        <v>59</v>
      </c>
      <c r="F3" s="4" t="s">
        <v>60</v>
      </c>
      <c r="G3" s="5" t="s">
        <v>61</v>
      </c>
      <c r="H3" s="4" t="s">
        <v>64</v>
      </c>
      <c r="I3" s="246" t="s">
        <v>73</v>
      </c>
      <c r="J3" s="16" t="s">
        <v>75</v>
      </c>
      <c r="K3" s="246" t="s">
        <v>76</v>
      </c>
      <c r="L3" s="23" t="s">
        <v>77</v>
      </c>
    </row>
    <row r="4" spans="1:12" s="50" customFormat="1" ht="26.25" customHeight="1">
      <c r="A4" s="78" t="s">
        <v>57</v>
      </c>
      <c r="B4" s="79" t="s">
        <v>58</v>
      </c>
      <c r="C4" s="79" t="s">
        <v>81</v>
      </c>
      <c r="D4" s="79" t="s">
        <v>97</v>
      </c>
      <c r="E4" s="80" t="s">
        <v>276</v>
      </c>
      <c r="F4" s="80">
        <v>41873</v>
      </c>
      <c r="G4" s="78" t="s">
        <v>72</v>
      </c>
      <c r="H4" s="52" t="str">
        <f>IF(ISTEXT(VLOOKUP(G4,Indicateurs,2,FALSE)),VLOOKUP(G4,Indicateurs,2,FALSE),"")</f>
        <v>oui</v>
      </c>
      <c r="I4" s="247">
        <f>SUMIF('Lignes commandes'!H:H,Interventions!A:A,'Lignes commandes'!J:J)</f>
        <v>813.60000058412561</v>
      </c>
      <c r="J4" s="53">
        <f>SUMIF(Opérations!C:C,Interventions!A:A,Opérations!F:F)</f>
        <v>12</v>
      </c>
      <c r="K4" s="251">
        <f>SUMIF(Opérations!C:C,Interventions!A:A,Opérations!I:I)</f>
        <v>307.44</v>
      </c>
      <c r="L4" s="254">
        <f>I4+K4</f>
        <v>1121.0400005841257</v>
      </c>
    </row>
    <row r="5" spans="1:12" s="50" customFormat="1" ht="26.25" customHeight="1">
      <c r="A5" s="78" t="s">
        <v>98</v>
      </c>
      <c r="B5" s="79" t="s">
        <v>234</v>
      </c>
      <c r="C5" s="79" t="s">
        <v>81</v>
      </c>
      <c r="D5" s="79" t="s">
        <v>97</v>
      </c>
      <c r="E5" s="80">
        <v>41880</v>
      </c>
      <c r="F5" s="80">
        <v>41880</v>
      </c>
      <c r="G5" s="78" t="s">
        <v>63</v>
      </c>
      <c r="H5" s="52" t="str">
        <f>IF(ISTEXT(VLOOKUP(G5,Indicateurs,2,FALSE)),VLOOKUP(G5,Indicateurs,2,FALSE),"")</f>
        <v>oui</v>
      </c>
      <c r="I5" s="247">
        <f>SUMIF('Lignes commandes'!H:H,Interventions!A:A,'Lignes commandes'!J:J)</f>
        <v>1121.6999965757132</v>
      </c>
      <c r="J5" s="53">
        <f>SUMIF(Opérations!C:C,Interventions!A:A,Opérations!F:F)</f>
        <v>18</v>
      </c>
      <c r="K5" s="251">
        <f>SUMIF(Opérations!C:C,Interventions!A:A,Opérations!I:I)</f>
        <v>461.16</v>
      </c>
      <c r="L5" s="254">
        <f>I5+K5</f>
        <v>1582.8599965757132</v>
      </c>
    </row>
    <row r="6" spans="1:12" s="50" customFormat="1" ht="26.25" customHeight="1">
      <c r="A6" s="78" t="s">
        <v>180</v>
      </c>
      <c r="B6" s="79" t="s">
        <v>181</v>
      </c>
      <c r="C6" s="79" t="s">
        <v>179</v>
      </c>
      <c r="D6" s="79" t="s">
        <v>140</v>
      </c>
      <c r="E6" s="80">
        <v>41871</v>
      </c>
      <c r="F6" s="80">
        <v>41882</v>
      </c>
      <c r="G6" s="78" t="s">
        <v>63</v>
      </c>
      <c r="H6" s="52" t="str">
        <f>IF(ISTEXT(VLOOKUP(G6,Indicateurs,2,FALSE)),VLOOKUP(G6,Indicateurs,2,FALSE),"")</f>
        <v>oui</v>
      </c>
      <c r="I6" s="247">
        <f>SUMIF('Lignes commandes'!H:H,Interventions!A:A,'Lignes commandes'!J:J)</f>
        <v>15119.040001251698</v>
      </c>
      <c r="J6" s="53">
        <f>SUMIF(Opérations!C:C,Interventions!A:A,Opérations!F:F)</f>
        <v>66</v>
      </c>
      <c r="K6" s="251">
        <f>SUMIF(Opérations!C:C,Interventions!A:A,Opérations!I:I)</f>
        <v>1690.92</v>
      </c>
      <c r="L6" s="254">
        <f>I6+K6</f>
        <v>16809.960001251697</v>
      </c>
    </row>
    <row r="7" spans="1:12" s="50" customFormat="1" ht="26.25" customHeight="1">
      <c r="A7" s="78" t="s">
        <v>233</v>
      </c>
      <c r="B7" s="79" t="s">
        <v>235</v>
      </c>
      <c r="C7" s="79" t="s">
        <v>81</v>
      </c>
      <c r="D7" s="79" t="s">
        <v>139</v>
      </c>
      <c r="E7" s="80" t="s">
        <v>236</v>
      </c>
      <c r="F7" s="80">
        <v>41911</v>
      </c>
      <c r="G7" s="78" t="s">
        <v>69</v>
      </c>
      <c r="H7" s="52" t="str">
        <f>IF(ISTEXT(VLOOKUP(G7,Indicateurs,2,FALSE)),VLOOKUP(G7,Indicateurs,2,FALSE),"")</f>
        <v>non</v>
      </c>
      <c r="I7" s="247">
        <f>SUMIF('Lignes commandes'!H:H,Interventions!A:A,'Lignes commandes'!J:J)</f>
        <v>0</v>
      </c>
      <c r="J7" s="53">
        <f>SUMIF(Opérations!C:C,Interventions!A:A,Opérations!F:F)</f>
        <v>0</v>
      </c>
      <c r="K7" s="251">
        <f>SUMIF(Opérations!C:C,Interventions!A:A,Opérations!I:I)</f>
        <v>0</v>
      </c>
      <c r="L7" s="254">
        <f>I7+K7</f>
        <v>0</v>
      </c>
    </row>
    <row r="8" spans="1:12" s="50" customFormat="1" ht="26.25" customHeight="1">
      <c r="A8" s="78" t="s">
        <v>238</v>
      </c>
      <c r="B8" s="79" t="s">
        <v>239</v>
      </c>
      <c r="C8" s="79" t="s">
        <v>81</v>
      </c>
      <c r="D8" s="79" t="s">
        <v>97</v>
      </c>
      <c r="E8" s="80" t="s">
        <v>240</v>
      </c>
      <c r="F8" s="80">
        <v>41887</v>
      </c>
      <c r="G8" s="78" t="s">
        <v>69</v>
      </c>
      <c r="H8" s="52" t="str">
        <f>IF(ISTEXT(VLOOKUP(G8,Indicateurs,2,FALSE)),VLOOKUP(G8,Indicateurs,2,FALSE),"")</f>
        <v>non</v>
      </c>
      <c r="I8" s="247">
        <f>SUMIF('Lignes commandes'!H:H,Interventions!A:A,'Lignes commandes'!J:J)</f>
        <v>0</v>
      </c>
      <c r="J8" s="53">
        <f>SUMIF(Opérations!C:C,Interventions!A:A,Opérations!F:F)</f>
        <v>5</v>
      </c>
      <c r="K8" s="251">
        <f>SUMIF(Opérations!C:C,Interventions!A:A,Opérations!I:I)</f>
        <v>128.1</v>
      </c>
      <c r="L8" s="254">
        <f>I8+K8</f>
        <v>128.1</v>
      </c>
    </row>
    <row r="9" spans="1:12">
      <c r="A9" s="7"/>
      <c r="B9" s="7"/>
      <c r="C9" s="7"/>
      <c r="D9" s="7"/>
      <c r="E9" s="8"/>
      <c r="F9" s="8"/>
      <c r="G9" s="7"/>
      <c r="H9" s="8"/>
      <c r="I9" s="248"/>
      <c r="J9" s="18"/>
      <c r="K9" s="252"/>
      <c r="L9" s="40"/>
    </row>
  </sheetData>
  <sheetProtection sheet="1" objects="1" scenarios="1" selectLockedCells="1" sort="0" autoFilter="0" pivotTables="0"/>
  <autoFilter ref="A3:L8">
    <filterColumn colId="2"/>
    <filterColumn colId="3"/>
  </autoFilter>
  <sortState ref="A4:L8">
    <sortCondition ref="A6"/>
  </sortState>
  <conditionalFormatting sqref="C4:C8">
    <cfRule type="expression" dxfId="35" priority="15">
      <formula>OR(AND(ISERROR(VLOOKUP(C4,Liste_Chantiers,1,FALSE)),LEN(C4)&gt;0),C4="Libellé complet")</formula>
    </cfRule>
  </conditionalFormatting>
  <conditionalFormatting sqref="D4:D8">
    <cfRule type="expression" dxfId="34" priority="14">
      <formula>OR(AND(ISERROR(VLOOKUP(D4,Liste_Bâtiments,1,FALSE)),LEN(D4)&gt;0),D4="Libellé complet")</formula>
    </cfRule>
  </conditionalFormatting>
  <conditionalFormatting sqref="G6:G8">
    <cfRule type="expression" dxfId="33" priority="13">
      <formula>AND(ISERROR(VLOOKUP(G6,Liste_Indicateurs,1,FALSE)),LEN(G6)&gt;0)</formula>
    </cfRule>
  </conditionalFormatting>
  <conditionalFormatting sqref="D5">
    <cfRule type="expression" dxfId="32" priority="8">
      <formula>AND(ISERROR(VLOOKUP(D5,Liste_Bâtiments,1,FALSE)),LEN(D5)&gt;0)</formula>
    </cfRule>
  </conditionalFormatting>
  <conditionalFormatting sqref="G5">
    <cfRule type="expression" dxfId="31" priority="7">
      <formula>AND(ISERROR(VLOOKUP(G5,Liste_Indicateurs,1,FALSE)),LEN(G5)&gt;0)</formula>
    </cfRule>
  </conditionalFormatting>
  <conditionalFormatting sqref="D4">
    <cfRule type="expression" dxfId="30" priority="5">
      <formula>AND(ISERROR(VLOOKUP(D4,Liste_Bâtiments,1,FALSE)),LEN(D4)&gt;0)</formula>
    </cfRule>
  </conditionalFormatting>
  <conditionalFormatting sqref="G4">
    <cfRule type="expression" dxfId="29" priority="4">
      <formula>AND(ISERROR(VLOOKUP(G4,Liste_Indicateurs,1,FALSE)),LEN(G4)&gt;0)</formula>
    </cfRule>
  </conditionalFormatting>
  <dataValidations count="3">
    <dataValidation type="list" allowBlank="1" showInputMessage="1" showErrorMessage="1" errorTitle="Indicateur" error="Veuillez choisir un élément dans la liste !" promptTitle="Indicateur" prompt="Veuillez choisir un élément dans la liste" sqref="G4:G8">
      <formula1>Liste_Indicateurs</formula1>
    </dataValidation>
    <dataValidation type="list" allowBlank="1" showInputMessage="1" showErrorMessage="1" sqref="C4:C8">
      <formula1>Liste_Chantiers</formula1>
    </dataValidation>
    <dataValidation type="list" allowBlank="1" showInputMessage="1" showErrorMessage="1" sqref="D3:D9">
      <formula1>Liste_Bâtiments</formula1>
    </dataValidation>
  </dataValidations>
  <printOptions horizontalCentered="1"/>
  <pageMargins left="0.39370078740157483" right="0.39370078740157483" top="0.19685039370078741" bottom="0.19685039370078741" header="0.19685039370078741" footer="0.19685039370078741"/>
  <pageSetup paperSize="9" scale="74" fitToHeight="0" orientation="landscape" verticalDpi="0" r:id="rId1"/>
  <headerFooter>
    <oddFooter>&amp;CPage &amp;P sur &amp;N - &amp;D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9"/>
  <sheetViews>
    <sheetView workbookViewId="0">
      <pane xSplit="2" ySplit="3" topLeftCell="C4" activePane="bottomRight" state="frozen"/>
      <selection activeCell="B3" sqref="B3"/>
      <selection pane="topRight" activeCell="B3" sqref="B3"/>
      <selection pane="bottomLeft" activeCell="B3" sqref="B3"/>
      <selection pane="bottomRight" activeCell="A5" sqref="A5"/>
    </sheetView>
  </sheetViews>
  <sheetFormatPr baseColWidth="10" defaultRowHeight="12.75"/>
  <cols>
    <col min="2" max="2" width="29.28515625" customWidth="1"/>
    <col min="3" max="3" width="14.42578125" customWidth="1"/>
    <col min="4" max="4" width="20.85546875" customWidth="1"/>
    <col min="5" max="5" width="22.7109375" customWidth="1"/>
    <col min="6" max="6" width="12.42578125" style="17" customWidth="1"/>
    <col min="7" max="7" width="39" customWidth="1"/>
    <col min="8" max="8" width="12.42578125" style="249" customWidth="1"/>
    <col min="9" max="9" width="12.85546875" style="253" customWidth="1"/>
  </cols>
  <sheetData>
    <row r="1" spans="1:9" s="76" customFormat="1" ht="50.25" customHeight="1">
      <c r="A1" s="146" t="str">
        <f>Collectivité&amp;" - "&amp;Service&amp;" - Fichier des opérations"</f>
        <v>Ville d'Excel-les-Bains - Patrimoine bâti - Fichier des opérations</v>
      </c>
      <c r="B1" s="112"/>
      <c r="C1" s="112"/>
      <c r="D1" s="112"/>
      <c r="E1" s="112"/>
      <c r="F1" s="148">
        <f>SUBTOTAL(9,F3:F9)</f>
        <v>101</v>
      </c>
      <c r="G1" s="147"/>
      <c r="H1" s="244"/>
      <c r="I1" s="244">
        <f>SUBTOTAL(9,I3:I9)</f>
        <v>2587.62</v>
      </c>
    </row>
    <row r="2" spans="1:9" ht="1.5" customHeight="1">
      <c r="A2" s="117"/>
      <c r="B2" s="117"/>
      <c r="C2" s="117"/>
      <c r="D2" s="117"/>
      <c r="E2" s="117"/>
      <c r="F2" s="150"/>
      <c r="G2" s="117"/>
      <c r="H2" s="245"/>
      <c r="I2" s="250"/>
    </row>
    <row r="3" spans="1:9" s="2" customFormat="1" ht="25.5">
      <c r="A3" s="5" t="s">
        <v>4</v>
      </c>
      <c r="B3" s="5" t="s">
        <v>34</v>
      </c>
      <c r="C3" s="5" t="s">
        <v>56</v>
      </c>
      <c r="D3" s="5" t="s">
        <v>171</v>
      </c>
      <c r="E3" s="5" t="s">
        <v>2</v>
      </c>
      <c r="F3" s="16" t="s">
        <v>75</v>
      </c>
      <c r="G3" s="5" t="s">
        <v>18</v>
      </c>
      <c r="H3" s="246" t="s">
        <v>127</v>
      </c>
      <c r="I3" s="255" t="s">
        <v>76</v>
      </c>
    </row>
    <row r="4" spans="1:9" s="50" customFormat="1" ht="39.75" customHeight="1">
      <c r="A4" s="81">
        <v>41871</v>
      </c>
      <c r="B4" s="79" t="s">
        <v>182</v>
      </c>
      <c r="C4" s="78" t="s">
        <v>180</v>
      </c>
      <c r="D4" s="227" t="s">
        <v>20</v>
      </c>
      <c r="E4" s="229" t="str">
        <f>IF(ISTEXT(VLOOKUP(D4,Agents_Services,2,FALSE)),VLOOKUP(D4,Agents_Services,2,FALSE),"")</f>
        <v>Plâtrerie-peinture</v>
      </c>
      <c r="F4" s="228">
        <v>22</v>
      </c>
      <c r="G4" s="176"/>
      <c r="H4" s="247">
        <f>IF(ISNUMBER(VLOOKUP(A4,Coûts_MO,3,TRUE)),VLOOKUP(A4,Coûts_MO,3,TRUE),0)</f>
        <v>25.62</v>
      </c>
      <c r="I4" s="251">
        <f>F4*H4</f>
        <v>563.64</v>
      </c>
    </row>
    <row r="5" spans="1:9" s="50" customFormat="1" ht="39.75" customHeight="1">
      <c r="A5" s="81">
        <v>41873</v>
      </c>
      <c r="B5" s="79" t="s">
        <v>58</v>
      </c>
      <c r="C5" s="78" t="s">
        <v>57</v>
      </c>
      <c r="D5" s="227" t="s">
        <v>20</v>
      </c>
      <c r="E5" s="229" t="str">
        <f>IF(ISTEXT(VLOOKUP(D5,Agents_Services,2,FALSE)),VLOOKUP(D5,Agents_Services,2,FALSE),"")</f>
        <v>Plâtrerie-peinture</v>
      </c>
      <c r="F5" s="228">
        <v>12</v>
      </c>
      <c r="G5" s="176"/>
      <c r="H5" s="247">
        <f>IF(ISNUMBER(VLOOKUP(A5,Coûts_MO,3,TRUE)),VLOOKUP(A5,Coûts_MO,3,TRUE),0)</f>
        <v>25.62</v>
      </c>
      <c r="I5" s="251">
        <f>F5*H5</f>
        <v>307.44</v>
      </c>
    </row>
    <row r="6" spans="1:9" s="50" customFormat="1" ht="39.75" customHeight="1">
      <c r="A6" s="81">
        <v>41874</v>
      </c>
      <c r="B6" s="79" t="s">
        <v>99</v>
      </c>
      <c r="C6" s="78" t="s">
        <v>98</v>
      </c>
      <c r="D6" s="227" t="s">
        <v>20</v>
      </c>
      <c r="E6" s="229" t="str">
        <f>IF(ISTEXT(VLOOKUP(D6,Agents_Services,2,FALSE)),VLOOKUP(D6,Agents_Services,2,FALSE),"")</f>
        <v>Plâtrerie-peinture</v>
      </c>
      <c r="F6" s="228">
        <v>18</v>
      </c>
      <c r="G6" s="176" t="s">
        <v>246</v>
      </c>
      <c r="H6" s="247">
        <f>IF(ISNUMBER(VLOOKUP(A6,Coûts_MO,3,TRUE)),VLOOKUP(A6,Coûts_MO,3,TRUE),0)</f>
        <v>25.62</v>
      </c>
      <c r="I6" s="251">
        <f>F6*H6</f>
        <v>461.16</v>
      </c>
    </row>
    <row r="7" spans="1:9" s="50" customFormat="1" ht="39.75" customHeight="1">
      <c r="A7" s="81">
        <v>41877</v>
      </c>
      <c r="B7" s="79" t="s">
        <v>183</v>
      </c>
      <c r="C7" s="78" t="s">
        <v>180</v>
      </c>
      <c r="D7" s="227" t="s">
        <v>20</v>
      </c>
      <c r="E7" s="229" t="str">
        <f>IF(ISTEXT(VLOOKUP(D7,Agents_Services,2,FALSE)),VLOOKUP(D7,Agents_Services,2,FALSE),"")</f>
        <v>Plâtrerie-peinture</v>
      </c>
      <c r="F7" s="228">
        <v>44</v>
      </c>
      <c r="G7" s="176"/>
      <c r="H7" s="247">
        <f>IF(ISNUMBER(VLOOKUP(A7,Coûts_MO,3,TRUE)),VLOOKUP(A7,Coûts_MO,3,TRUE),0)</f>
        <v>25.62</v>
      </c>
      <c r="I7" s="251">
        <f>F7*H7</f>
        <v>1127.28</v>
      </c>
    </row>
    <row r="8" spans="1:9" s="50" customFormat="1" ht="39.75" customHeight="1">
      <c r="A8" s="81">
        <v>41881</v>
      </c>
      <c r="B8" s="79" t="s">
        <v>241</v>
      </c>
      <c r="C8" s="78" t="s">
        <v>238</v>
      </c>
      <c r="D8" s="227" t="s">
        <v>20</v>
      </c>
      <c r="E8" s="229" t="str">
        <f>IF(ISTEXT(VLOOKUP(D8,Agents_Services,2,FALSE)),VLOOKUP(D8,Agents_Services,2,FALSE),"")</f>
        <v>Plâtrerie-peinture</v>
      </c>
      <c r="F8" s="228">
        <v>5</v>
      </c>
      <c r="G8" s="176"/>
      <c r="H8" s="247">
        <f>IF(ISNUMBER(VLOOKUP(A8,Coûts_MO,3,TRUE)),VLOOKUP(A8,Coûts_MO,3,TRUE),0)</f>
        <v>25.62</v>
      </c>
      <c r="I8" s="251">
        <f>F8*H8</f>
        <v>128.1</v>
      </c>
    </row>
    <row r="9" spans="1:9">
      <c r="A9" s="7"/>
      <c r="B9" s="7"/>
      <c r="C9" s="7"/>
      <c r="D9" s="7"/>
      <c r="E9" s="7"/>
      <c r="F9" s="18"/>
      <c r="G9" s="7"/>
      <c r="H9" s="248"/>
      <c r="I9" s="252"/>
    </row>
  </sheetData>
  <sheetProtection sheet="1" objects="1" scenarios="1" selectLockedCells="1" sort="0" autoFilter="0" pivotTables="0"/>
  <sortState ref="A4:I8">
    <sortCondition ref="A5"/>
  </sortState>
  <conditionalFormatting sqref="C4:C8">
    <cfRule type="expression" dxfId="28" priority="9">
      <formula>OR(AND(ISERROR(VLOOKUP(C4,Liste_Interventions,1,FALSE)),LEN(C4)&gt;0),C4="Code")</formula>
    </cfRule>
  </conditionalFormatting>
  <conditionalFormatting sqref="C4">
    <cfRule type="expression" dxfId="27" priority="3">
      <formula>AND(ISERROR(VLOOKUP(C4,Liste_Interventions,1,FALSE)),LEN(C4)&gt;0)</formula>
    </cfRule>
  </conditionalFormatting>
  <conditionalFormatting sqref="D4:D8">
    <cfRule type="expression" dxfId="26" priority="2">
      <formula>OR(AND(ISERROR(VLOOKUP(D4,Liste_Agents,1,FALSE)),LEN(D4)&gt;0),D4="Identité complète")</formula>
    </cfRule>
  </conditionalFormatting>
  <conditionalFormatting sqref="E4:E8">
    <cfRule type="expression" dxfId="25" priority="1">
      <formula>OR(AND(ISERROR(VLOOKUP(E4,Liste_Services,1,FALSE)),LEN(E4)&gt;0),E4="Libellé")</formula>
    </cfRule>
  </conditionalFormatting>
  <dataValidations count="3">
    <dataValidation type="list" allowBlank="1" showInputMessage="1" showErrorMessage="1" sqref="D4:D8">
      <formula1>Liste_Agents</formula1>
    </dataValidation>
    <dataValidation type="list" allowBlank="1" showInputMessage="1" showErrorMessage="1" sqref="C4:C8">
      <formula1>Liste_Interventions</formula1>
    </dataValidation>
    <dataValidation type="list" allowBlank="1" showInputMessage="1" showErrorMessage="1" sqref="E4:E8">
      <formula1>Liste_Services</formula1>
    </dataValidation>
  </dataValidations>
  <printOptions horizontalCentered="1"/>
  <pageMargins left="0.39370078740157483" right="0.39370078740157483" top="0.19685039370078741" bottom="0.19685039370078741" header="0.19685039370078741" footer="0.19685039370078741"/>
  <pageSetup paperSize="9" scale="78" fitToHeight="0" orientation="landscape" verticalDpi="0" r:id="rId1"/>
  <headerFooter>
    <oddFooter>&amp;CPage &amp;P sur &amp;N -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J9"/>
  <sheetViews>
    <sheetView workbookViewId="0">
      <pane ySplit="3" topLeftCell="A4" activePane="bottomLeft" state="frozen"/>
      <selection activeCell="B3" sqref="B3"/>
      <selection pane="bottomLeft" activeCell="A7" sqref="A7"/>
    </sheetView>
  </sheetViews>
  <sheetFormatPr baseColWidth="10" defaultRowHeight="12.75"/>
  <cols>
    <col min="1" max="1" width="14.7109375" customWidth="1"/>
    <col min="3" max="3" width="24.42578125" customWidth="1"/>
    <col min="4" max="4" width="20.85546875" customWidth="1"/>
    <col min="5" max="5" width="35.28515625" customWidth="1"/>
    <col min="6" max="6" width="31.5703125" customWidth="1"/>
    <col min="7" max="7" width="15.42578125" style="253" customWidth="1"/>
    <col min="8" max="8" width="20.7109375" style="10" customWidth="1"/>
    <col min="9" max="10" width="31.5703125" customWidth="1"/>
  </cols>
  <sheetData>
    <row r="1" spans="1:10" s="76" customFormat="1" ht="52.5" customHeight="1">
      <c r="A1" s="146" t="str">
        <f>Collectivité&amp;" - "&amp;Service&amp;" - Fichier des entêtes de commandes"</f>
        <v>Ville d'Excel-les-Bains - Patrimoine bâti - Fichier des entêtes de commandes</v>
      </c>
      <c r="B1" s="112"/>
      <c r="C1" s="112"/>
      <c r="D1" s="112"/>
      <c r="E1" s="112"/>
      <c r="F1" s="112"/>
      <c r="G1" s="256">
        <f>SUBTOTAL(9,G3:G9)</f>
        <v>18271.740001035629</v>
      </c>
      <c r="H1" s="152"/>
      <c r="I1" s="112"/>
      <c r="J1" s="112"/>
    </row>
    <row r="2" spans="1:10" hidden="1">
      <c r="A2" s="117"/>
      <c r="B2" s="117"/>
      <c r="C2" s="117"/>
      <c r="D2" s="117"/>
      <c r="E2" s="117"/>
      <c r="F2" s="117"/>
      <c r="G2" s="250"/>
      <c r="H2" s="151"/>
      <c r="I2" s="117"/>
      <c r="J2" s="117"/>
    </row>
    <row r="3" spans="1:10" s="1" customFormat="1" ht="24" customHeight="1">
      <c r="A3" s="5" t="s">
        <v>5</v>
      </c>
      <c r="B3" s="4" t="s">
        <v>4</v>
      </c>
      <c r="C3" s="5" t="s">
        <v>23</v>
      </c>
      <c r="D3" s="5" t="s">
        <v>6</v>
      </c>
      <c r="E3" s="5" t="s">
        <v>17</v>
      </c>
      <c r="F3" s="5" t="s">
        <v>18</v>
      </c>
      <c r="G3" s="246" t="s">
        <v>55</v>
      </c>
      <c r="H3" s="11" t="s">
        <v>2</v>
      </c>
      <c r="I3" s="5" t="s">
        <v>193</v>
      </c>
      <c r="J3" s="5" t="s">
        <v>194</v>
      </c>
    </row>
    <row r="4" spans="1:10">
      <c r="A4" s="83" t="s">
        <v>19</v>
      </c>
      <c r="B4" s="82">
        <v>41871</v>
      </c>
      <c r="C4" s="83" t="s">
        <v>24</v>
      </c>
      <c r="D4" s="83" t="s">
        <v>288</v>
      </c>
      <c r="E4" s="83" t="s">
        <v>100</v>
      </c>
      <c r="F4" s="105"/>
      <c r="G4" s="253">
        <f>SUMIF('Lignes commandes'!A:A,'Entêtes commandes'!A:A,'Lignes commandes'!J:J)</f>
        <v>1214.400001180172</v>
      </c>
      <c r="H4" s="10" t="str">
        <f>IF(ISTEXT(VLOOKUP(D4,Agents_Services,2,FALSE)),VLOOKUP(D4,Agents_Services,2,FALSE),"")</f>
        <v>Menuiserie</v>
      </c>
      <c r="I4" s="106" t="str">
        <f>IF(ISTEXT(VLOOKUP(C4,Fournisseurs,2,FALSE)),VLOOKUP(C4,Fournisseurs,2,FALSE),"")</f>
        <v>61 rue Jean Jaurès</v>
      </c>
      <c r="J4" s="106" t="str">
        <f>IF(ISTEXT(VLOOKUP(C4,Fournisseurs,4,FALSE)),VLOOKUP(C4,Fournisseurs,3,FALSE)&amp;" "&amp;VLOOKUP(C4,Fournisseurs,4,FALSE),"")</f>
        <v>69999 Excel-les-Bains</v>
      </c>
    </row>
    <row r="5" spans="1:10">
      <c r="A5" s="83" t="s">
        <v>22</v>
      </c>
      <c r="B5" s="82">
        <v>41872</v>
      </c>
      <c r="C5" s="83" t="s">
        <v>26</v>
      </c>
      <c r="D5" s="83" t="s">
        <v>20</v>
      </c>
      <c r="E5" s="83" t="s">
        <v>102</v>
      </c>
      <c r="F5" s="105"/>
      <c r="G5" s="253">
        <f>SUMIF('Lignes commandes'!A:A,'Entêtes commandes'!A:A,'Lignes commandes'!J:J)</f>
        <v>1121.6999965757132</v>
      </c>
      <c r="H5" s="10" t="str">
        <f>IF(ISTEXT(VLOOKUP(D5,Agents_Services,2,FALSE)),VLOOKUP(D5,Agents_Services,2,FALSE),"")</f>
        <v>Plâtrerie-peinture</v>
      </c>
      <c r="I5" s="106" t="str">
        <f>IF(ISTEXT(VLOOKUP(C5,Fournisseurs,2,FALSE)),VLOOKUP(C5,Fournisseurs,2,FALSE),"")</f>
        <v>9 place Pablo Picasso</v>
      </c>
      <c r="J5" s="106" t="str">
        <f>IF(ISTEXT(VLOOKUP(C5,Fournisseurs,4,FALSE)),VLOOKUP(C5,Fournisseurs,3,FALSE)&amp;" "&amp;VLOOKUP(C5,Fournisseurs,4,FALSE),"")</f>
        <v>69999 Excel-les-Bains</v>
      </c>
    </row>
    <row r="6" spans="1:10">
      <c r="A6" s="83" t="s">
        <v>25</v>
      </c>
      <c r="B6" s="82">
        <v>41873</v>
      </c>
      <c r="C6" s="83" t="s">
        <v>26</v>
      </c>
      <c r="D6" s="83" t="s">
        <v>289</v>
      </c>
      <c r="E6" s="83" t="s">
        <v>101</v>
      </c>
      <c r="F6" s="105"/>
      <c r="G6" s="253">
        <f>SUMIF('Lignes commandes'!A:A,'Entêtes commandes'!A:A,'Lignes commandes'!J:J)</f>
        <v>335.03999999999996</v>
      </c>
      <c r="H6" s="10" t="str">
        <f>IF(ISTEXT(VLOOKUP(D6,Agents_Services,2,FALSE)),VLOOKUP(D6,Agents_Services,2,FALSE),"")</f>
        <v>Menuiserie</v>
      </c>
      <c r="I6" s="106" t="str">
        <f>IF(ISTEXT(VLOOKUP(C6,Fournisseurs,2,FALSE)),VLOOKUP(C6,Fournisseurs,2,FALSE),"")</f>
        <v>9 place Pablo Picasso</v>
      </c>
      <c r="J6" s="106" t="str">
        <f>IF(ISTEXT(VLOOKUP(C6,Fournisseurs,4,FALSE)),VLOOKUP(C6,Fournisseurs,3,FALSE)&amp;" "&amp;VLOOKUP(C6,Fournisseurs,4,FALSE),"")</f>
        <v>69999 Excel-les-Bains</v>
      </c>
    </row>
    <row r="7" spans="1:10">
      <c r="A7" s="83" t="s">
        <v>186</v>
      </c>
      <c r="B7" s="82">
        <v>41871</v>
      </c>
      <c r="C7" s="83" t="s">
        <v>184</v>
      </c>
      <c r="D7" s="83" t="s">
        <v>290</v>
      </c>
      <c r="E7" s="83" t="s">
        <v>187</v>
      </c>
      <c r="F7" s="105"/>
      <c r="G7" s="253">
        <f>SUMIF('Lignes commandes'!A:A,'Entêtes commandes'!A:A,'Lignes commandes'!J:J)</f>
        <v>0</v>
      </c>
      <c r="H7" s="10" t="str">
        <f>IF(ISTEXT(VLOOKUP(D7,Agents_Services,2,FALSE)),VLOOKUP(D7,Agents_Services,2,FALSE),"")</f>
        <v>Plâtrerie-peinture</v>
      </c>
      <c r="I7" s="106" t="str">
        <f>IF(ISTEXT(VLOOKUP(C7,Fournisseurs,2,FALSE)),VLOOKUP(C7,Fournisseurs,2,FALSE),"")</f>
        <v>1 rue Jean Moulin</v>
      </c>
      <c r="J7" s="106" t="str">
        <f>IF(ISTEXT(VLOOKUP(C7,Fournisseurs,4,FALSE)),VLOOKUP(C7,Fournisseurs,3,FALSE)&amp;" "&amp;VLOOKUP(C7,Fournisseurs,4,FALSE),"")</f>
        <v>69999 Excel-les-Bains</v>
      </c>
    </row>
    <row r="8" spans="1:10">
      <c r="A8" s="83" t="s">
        <v>210</v>
      </c>
      <c r="B8" s="82">
        <v>41871</v>
      </c>
      <c r="C8" s="83" t="s">
        <v>248</v>
      </c>
      <c r="D8" s="83" t="s">
        <v>20</v>
      </c>
      <c r="E8" s="83" t="s">
        <v>211</v>
      </c>
      <c r="F8" s="105"/>
      <c r="G8" s="253">
        <f>SUMIF('Lignes commandes'!A:A,'Entêtes commandes'!A:A,'Lignes commandes'!J:J)</f>
        <v>15600.600003279746</v>
      </c>
      <c r="H8" s="10" t="str">
        <f>IF(ISTEXT(VLOOKUP(D8,Agents_Services,2,FALSE)),VLOOKUP(D8,Agents_Services,2,FALSE),"")</f>
        <v>Plâtrerie-peinture</v>
      </c>
      <c r="I8" s="106" t="str">
        <f>IF(ISTEXT(VLOOKUP(C8,Fournisseurs,2,FALSE)),VLOOKUP(C8,Fournisseurs,2,FALSE),"")</f>
        <v>4 rue des Vignes</v>
      </c>
      <c r="J8" s="106" t="str">
        <f>IF(ISTEXT(VLOOKUP(C8,Fournisseurs,4,FALSE)),VLOOKUP(C8,Fournisseurs,3,FALSE)&amp;" "&amp;VLOOKUP(C8,Fournisseurs,4,FALSE),"")</f>
        <v>69999 Excel-les-Bains</v>
      </c>
    </row>
    <row r="9" spans="1:10">
      <c r="A9" s="7"/>
      <c r="B9" s="7"/>
      <c r="C9" s="7"/>
      <c r="D9" s="7"/>
      <c r="E9" s="7"/>
      <c r="F9" s="7"/>
      <c r="G9" s="252"/>
      <c r="H9" s="12"/>
      <c r="I9" s="7"/>
      <c r="J9" s="7"/>
    </row>
  </sheetData>
  <sheetProtection sheet="1" objects="1" scenarios="1" selectLockedCells="1" sort="0" autoFilter="0" pivotTables="0"/>
  <autoFilter ref="A3:J8"/>
  <sortState ref="A4:J8">
    <sortCondition ref="A4"/>
  </sortState>
  <conditionalFormatting sqref="C4:C8">
    <cfRule type="expression" dxfId="24" priority="4">
      <formula>OR(AND(ISERROR(VLOOKUP(C4,Liste_Fournisseurs,1,FALSE)),LEN(C4)&gt;0),C4="Libellé")</formula>
    </cfRule>
  </conditionalFormatting>
  <conditionalFormatting sqref="D4:D8">
    <cfRule type="expression" dxfId="23" priority="3">
      <formula>OR(AND(ISERROR(VLOOKUP(D4,Liste_Agents,1,FALSE)),LEN(D4)&gt;0),D4="Identité complète")</formula>
    </cfRule>
  </conditionalFormatting>
  <dataValidations count="2">
    <dataValidation type="list" allowBlank="1" showInputMessage="1" showErrorMessage="1" sqref="C3:C9">
      <formula1>Liste_Fournisseurs</formula1>
    </dataValidation>
    <dataValidation type="list" allowBlank="1" showInputMessage="1" showErrorMessage="1" sqref="D4:D8">
      <formula1>Liste_Agents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scale="61" fitToHeight="0" orientation="landscape" verticalDpi="0" r:id="rId1"/>
  <headerFooter>
    <oddFooter>&amp;CPage &amp;P sur &amp;N - &amp;D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L215"/>
  <sheetViews>
    <sheetView workbookViewId="0">
      <pane ySplit="3" topLeftCell="A4" activePane="bottomLeft" state="frozen"/>
      <selection activeCell="B3" sqref="B3"/>
      <selection pane="bottomLeft" activeCell="A4" sqref="A4"/>
    </sheetView>
  </sheetViews>
  <sheetFormatPr baseColWidth="10" defaultRowHeight="12.75"/>
  <cols>
    <col min="1" max="1" width="14.28515625" customWidth="1"/>
    <col min="2" max="2" width="31.85546875" customWidth="1"/>
    <col min="3" max="3" width="12.28515625" customWidth="1"/>
    <col min="4" max="4" width="11.42578125" style="3"/>
    <col min="5" max="5" width="14.7109375" style="236" customWidth="1"/>
    <col min="6" max="6" width="11.42578125" style="13"/>
    <col min="7" max="7" width="27.140625" style="10" customWidth="1"/>
    <col min="8" max="8" width="19.85546875" style="10" customWidth="1"/>
    <col min="9" max="9" width="12.85546875" style="236" customWidth="1"/>
    <col min="10" max="10" width="13.140625" style="236" customWidth="1"/>
    <col min="11" max="11" width="17.42578125" customWidth="1"/>
    <col min="12" max="12" width="21.85546875" customWidth="1"/>
  </cols>
  <sheetData>
    <row r="1" spans="1:12" s="76" customFormat="1" ht="51" customHeight="1">
      <c r="A1" s="146" t="str">
        <f>Collectivité&amp;" - "&amp;Service&amp;" - Fichier des lignes de commandes"</f>
        <v>Ville d'Excel-les-Bains - Patrimoine bâti - Fichier des lignes de commandes</v>
      </c>
      <c r="B1" s="112"/>
      <c r="C1" s="112"/>
      <c r="D1" s="113"/>
      <c r="E1" s="235"/>
      <c r="F1" s="115"/>
      <c r="G1" s="152"/>
      <c r="H1" s="152"/>
      <c r="I1" s="235">
        <f>SUBTOTAL(9,I3:I19)</f>
        <v>8728.4500000000007</v>
      </c>
      <c r="J1" s="235">
        <f>SUBTOTAL(9,J3:J19)</f>
        <v>10471.439999395758</v>
      </c>
      <c r="K1" s="112"/>
      <c r="L1" s="112"/>
    </row>
    <row r="2" spans="1:12" hidden="1"/>
    <row r="3" spans="1:12" s="2" customFormat="1" ht="25.5">
      <c r="A3" s="5" t="s">
        <v>74</v>
      </c>
      <c r="B3" s="5" t="s">
        <v>17</v>
      </c>
      <c r="C3" s="5" t="s">
        <v>40</v>
      </c>
      <c r="D3" s="4" t="s">
        <v>41</v>
      </c>
      <c r="E3" s="237" t="s">
        <v>42</v>
      </c>
      <c r="F3" s="14" t="s">
        <v>43</v>
      </c>
      <c r="G3" s="11" t="s">
        <v>18</v>
      </c>
      <c r="H3" s="11" t="s">
        <v>56</v>
      </c>
      <c r="I3" s="242" t="s">
        <v>44</v>
      </c>
      <c r="J3" s="242" t="s">
        <v>45</v>
      </c>
      <c r="K3" s="5" t="s">
        <v>32</v>
      </c>
      <c r="L3" s="5" t="s">
        <v>195</v>
      </c>
    </row>
    <row r="4" spans="1:12" s="50" customFormat="1" ht="23.25" customHeight="1">
      <c r="A4" s="78" t="s">
        <v>19</v>
      </c>
      <c r="B4" s="78" t="s">
        <v>46</v>
      </c>
      <c r="C4" s="78" t="s">
        <v>47</v>
      </c>
      <c r="D4" s="177">
        <v>3</v>
      </c>
      <c r="E4" s="238">
        <v>142</v>
      </c>
      <c r="F4" s="179">
        <v>0.2</v>
      </c>
      <c r="G4" s="178"/>
      <c r="H4" s="178" t="s">
        <v>57</v>
      </c>
      <c r="I4" s="243">
        <f t="shared" ref="I4:I18" si="0">D4*E4</f>
        <v>426</v>
      </c>
      <c r="J4" s="243">
        <f t="shared" ref="J4:J18" si="1">I4*(1+F4)</f>
        <v>511.2</v>
      </c>
      <c r="K4" s="50" t="str">
        <f t="shared" ref="K4:K18" si="2">IF(ISTEXT(VLOOKUP(C4,Imputations,7,FALSE)),VLOOKUP(C4,Imputations,7,FALSE),"")</f>
        <v>Fonctionnement</v>
      </c>
      <c r="L4" s="50" t="str">
        <f t="shared" ref="L4:L18" si="3">IF(ISTEXT(VLOOKUP(C4,Imputations,3,FALSE)),VLOOKUP(C4,Imputations,3,FALSE)&amp;" / "&amp;VLOOKUP(C4,Imputations,4,FALSE)&amp;" / "&amp;VLOOKUP(C4,Imputations,5,FALSE)&amp;" / "&amp;VLOOKUP(C4,Imputations,6,FALSE),"")</f>
        <v>TEC / 020 / 60223 / BAT</v>
      </c>
    </row>
    <row r="5" spans="1:12" s="50" customFormat="1" ht="23.25" customHeight="1">
      <c r="A5" s="78" t="s">
        <v>19</v>
      </c>
      <c r="B5" s="78" t="s">
        <v>48</v>
      </c>
      <c r="C5" s="78" t="s">
        <v>47</v>
      </c>
      <c r="D5" s="177">
        <v>2</v>
      </c>
      <c r="E5" s="238">
        <v>98</v>
      </c>
      <c r="F5" s="179">
        <v>0.20000000298023224</v>
      </c>
      <c r="G5" s="178"/>
      <c r="H5" s="178" t="s">
        <v>57</v>
      </c>
      <c r="I5" s="243">
        <f t="shared" si="0"/>
        <v>196</v>
      </c>
      <c r="J5" s="243">
        <f t="shared" si="1"/>
        <v>235.20000058412552</v>
      </c>
      <c r="K5" s="50" t="str">
        <f t="shared" si="2"/>
        <v>Fonctionnement</v>
      </c>
      <c r="L5" s="50" t="str">
        <f t="shared" si="3"/>
        <v>TEC / 020 / 60223 / BAT</v>
      </c>
    </row>
    <row r="6" spans="1:12" s="50" customFormat="1" ht="23.25" customHeight="1">
      <c r="A6" s="78" t="s">
        <v>19</v>
      </c>
      <c r="B6" s="78" t="s">
        <v>49</v>
      </c>
      <c r="C6" s="78" t="s">
        <v>47</v>
      </c>
      <c r="D6" s="177">
        <v>10</v>
      </c>
      <c r="E6" s="238">
        <v>5.6</v>
      </c>
      <c r="F6" s="179">
        <v>0.2</v>
      </c>
      <c r="G6" s="178"/>
      <c r="H6" s="178" t="s">
        <v>57</v>
      </c>
      <c r="I6" s="243">
        <f t="shared" si="0"/>
        <v>56</v>
      </c>
      <c r="J6" s="243">
        <f t="shared" si="1"/>
        <v>67.2</v>
      </c>
      <c r="K6" s="50" t="str">
        <f t="shared" si="2"/>
        <v>Fonctionnement</v>
      </c>
      <c r="L6" s="50" t="str">
        <f t="shared" si="3"/>
        <v>TEC / 020 / 60223 / BAT</v>
      </c>
    </row>
    <row r="7" spans="1:12" s="50" customFormat="1" ht="23.25" customHeight="1">
      <c r="A7" s="78" t="s">
        <v>19</v>
      </c>
      <c r="B7" s="78" t="s">
        <v>50</v>
      </c>
      <c r="C7" s="78" t="s">
        <v>51</v>
      </c>
      <c r="D7" s="177">
        <v>1</v>
      </c>
      <c r="E7" s="238">
        <v>200</v>
      </c>
      <c r="F7" s="179">
        <v>0.20000000298023224</v>
      </c>
      <c r="G7" s="178"/>
      <c r="H7" s="178"/>
      <c r="I7" s="243">
        <f>D7*E7</f>
        <v>200</v>
      </c>
      <c r="J7" s="243">
        <f>I7*(1+F7)</f>
        <v>240.00000059604645</v>
      </c>
      <c r="K7" s="50" t="str">
        <f>IF(ISTEXT(VLOOKUP(C7,Imputations,7,FALSE)),VLOOKUP(C7,Imputations,7,FALSE),"")</f>
        <v>Investissement</v>
      </c>
      <c r="L7" s="50" t="str">
        <f>IF(ISTEXT(VLOOKUP(C7,Imputations,3,FALSE)),VLOOKUP(C7,Imputations,3,FALSE)&amp;" / "&amp;VLOOKUP(C7,Imputations,4,FALSE)&amp;" / "&amp;VLOOKUP(C7,Imputations,5,FALSE)&amp;" / "&amp;VLOOKUP(C7,Imputations,6,FALSE),"")</f>
        <v>TEC / 020 / 2183 / BAT</v>
      </c>
    </row>
    <row r="8" spans="1:12" s="50" customFormat="1" ht="23.25" customHeight="1">
      <c r="A8" s="78" t="s">
        <v>19</v>
      </c>
      <c r="B8" s="78" t="s">
        <v>54</v>
      </c>
      <c r="C8" s="78" t="s">
        <v>51</v>
      </c>
      <c r="D8" s="177">
        <v>1</v>
      </c>
      <c r="E8" s="238">
        <v>134</v>
      </c>
      <c r="F8" s="179">
        <v>0.2</v>
      </c>
      <c r="G8" s="178"/>
      <c r="H8" s="178"/>
      <c r="I8" s="243">
        <f t="shared" si="0"/>
        <v>134</v>
      </c>
      <c r="J8" s="243">
        <f t="shared" si="1"/>
        <v>160.79999999999998</v>
      </c>
      <c r="K8" s="50" t="str">
        <f t="shared" si="2"/>
        <v>Investissement</v>
      </c>
      <c r="L8" s="50" t="str">
        <f t="shared" si="3"/>
        <v>TEC / 020 / 2183 / BAT</v>
      </c>
    </row>
    <row r="9" spans="1:12" s="50" customFormat="1" ht="23.25" customHeight="1">
      <c r="A9" s="78" t="s">
        <v>22</v>
      </c>
      <c r="B9" s="78" t="s">
        <v>103</v>
      </c>
      <c r="C9" s="78" t="s">
        <v>47</v>
      </c>
      <c r="D9" s="177">
        <v>5</v>
      </c>
      <c r="E9" s="238">
        <v>50</v>
      </c>
      <c r="F9" s="179">
        <v>0.2</v>
      </c>
      <c r="G9" s="178"/>
      <c r="H9" s="178" t="s">
        <v>98</v>
      </c>
      <c r="I9" s="243">
        <f t="shared" si="0"/>
        <v>250</v>
      </c>
      <c r="J9" s="243">
        <f t="shared" si="1"/>
        <v>300</v>
      </c>
      <c r="K9" s="50" t="str">
        <f t="shared" si="2"/>
        <v>Fonctionnement</v>
      </c>
      <c r="L9" s="50" t="str">
        <f t="shared" si="3"/>
        <v>TEC / 020 / 60223 / BAT</v>
      </c>
    </row>
    <row r="10" spans="1:12" s="50" customFormat="1" ht="23.25" customHeight="1">
      <c r="A10" s="78" t="s">
        <v>22</v>
      </c>
      <c r="B10" s="78" t="s">
        <v>104</v>
      </c>
      <c r="C10" s="78" t="s">
        <v>47</v>
      </c>
      <c r="D10" s="177">
        <v>15</v>
      </c>
      <c r="E10" s="238">
        <v>45</v>
      </c>
      <c r="F10" s="179">
        <v>0.19599999487400055</v>
      </c>
      <c r="G10" s="178"/>
      <c r="H10" s="178" t="s">
        <v>98</v>
      </c>
      <c r="I10" s="243">
        <f>D10*E10</f>
        <v>675</v>
      </c>
      <c r="J10" s="243">
        <f>I10*(1+F10)</f>
        <v>807.29999653995037</v>
      </c>
      <c r="K10" s="50" t="str">
        <f>IF(ISTEXT(VLOOKUP(C10,Imputations,7,FALSE)),VLOOKUP(C10,Imputations,7,FALSE),"")</f>
        <v>Fonctionnement</v>
      </c>
      <c r="L10" s="50" t="str">
        <f>IF(ISTEXT(VLOOKUP(C10,Imputations,3,FALSE)),VLOOKUP(C10,Imputations,3,FALSE)&amp;" / "&amp;VLOOKUP(C10,Imputations,4,FALSE)&amp;" / "&amp;VLOOKUP(C10,Imputations,5,FALSE)&amp;" / "&amp;VLOOKUP(C10,Imputations,6,FALSE),"")</f>
        <v>TEC / 020 / 60223 / BAT</v>
      </c>
    </row>
    <row r="11" spans="1:12" s="50" customFormat="1" ht="23.25" customHeight="1">
      <c r="A11" s="78" t="s">
        <v>22</v>
      </c>
      <c r="B11" s="78" t="s">
        <v>270</v>
      </c>
      <c r="C11" s="78" t="s">
        <v>47</v>
      </c>
      <c r="D11" s="177">
        <v>3</v>
      </c>
      <c r="E11" s="238">
        <v>4</v>
      </c>
      <c r="F11" s="179">
        <v>0.20000000298023224</v>
      </c>
      <c r="G11" s="178"/>
      <c r="H11" s="178" t="s">
        <v>98</v>
      </c>
      <c r="I11" s="243">
        <f t="shared" si="0"/>
        <v>12</v>
      </c>
      <c r="J11" s="243">
        <f t="shared" si="1"/>
        <v>14.400000035762787</v>
      </c>
      <c r="K11" s="50" t="str">
        <f t="shared" si="2"/>
        <v>Fonctionnement</v>
      </c>
      <c r="L11" s="50" t="str">
        <f t="shared" si="3"/>
        <v>TEC / 020 / 60223 / BAT</v>
      </c>
    </row>
    <row r="12" spans="1:12" s="50" customFormat="1" ht="23.25" customHeight="1">
      <c r="A12" s="78" t="s">
        <v>25</v>
      </c>
      <c r="B12" s="78" t="s">
        <v>206</v>
      </c>
      <c r="C12" s="78" t="s">
        <v>47</v>
      </c>
      <c r="D12" s="177">
        <v>12</v>
      </c>
      <c r="E12" s="238">
        <v>7.35</v>
      </c>
      <c r="F12" s="179">
        <v>0.2</v>
      </c>
      <c r="G12" s="178"/>
      <c r="H12" s="178" t="s">
        <v>180</v>
      </c>
      <c r="I12" s="243">
        <f t="shared" si="0"/>
        <v>88.199999999999989</v>
      </c>
      <c r="J12" s="243">
        <f t="shared" si="1"/>
        <v>105.83999999999999</v>
      </c>
      <c r="K12" s="50" t="str">
        <f t="shared" si="2"/>
        <v>Fonctionnement</v>
      </c>
      <c r="L12" s="50" t="str">
        <f t="shared" si="3"/>
        <v>TEC / 020 / 60223 / BAT</v>
      </c>
    </row>
    <row r="13" spans="1:12" s="50" customFormat="1" ht="23.25" customHeight="1">
      <c r="A13" s="78" t="s">
        <v>25</v>
      </c>
      <c r="B13" s="78" t="s">
        <v>207</v>
      </c>
      <c r="C13" s="78" t="s">
        <v>51</v>
      </c>
      <c r="D13" s="177">
        <v>1</v>
      </c>
      <c r="E13" s="238">
        <v>175</v>
      </c>
      <c r="F13" s="179">
        <v>0.2</v>
      </c>
      <c r="G13" s="178"/>
      <c r="H13" s="178" t="s">
        <v>180</v>
      </c>
      <c r="I13" s="243">
        <f t="shared" si="0"/>
        <v>175</v>
      </c>
      <c r="J13" s="243">
        <f t="shared" si="1"/>
        <v>210</v>
      </c>
      <c r="K13" s="50" t="str">
        <f t="shared" si="2"/>
        <v>Investissement</v>
      </c>
      <c r="L13" s="50" t="str">
        <f t="shared" si="3"/>
        <v>TEC / 020 / 2183 / BAT</v>
      </c>
    </row>
    <row r="14" spans="1:12" s="50" customFormat="1" ht="23.25" customHeight="1">
      <c r="A14" s="78" t="s">
        <v>25</v>
      </c>
      <c r="B14" s="78" t="s">
        <v>208</v>
      </c>
      <c r="C14" s="78" t="s">
        <v>47</v>
      </c>
      <c r="D14" s="177">
        <v>20</v>
      </c>
      <c r="E14" s="238">
        <v>0.8</v>
      </c>
      <c r="F14" s="179">
        <v>0.2</v>
      </c>
      <c r="G14" s="178"/>
      <c r="H14" s="178" t="s">
        <v>180</v>
      </c>
      <c r="I14" s="243">
        <f t="shared" si="0"/>
        <v>16</v>
      </c>
      <c r="J14" s="243">
        <f t="shared" si="1"/>
        <v>19.2</v>
      </c>
      <c r="K14" s="50" t="str">
        <f t="shared" si="2"/>
        <v>Fonctionnement</v>
      </c>
      <c r="L14" s="50" t="str">
        <f t="shared" si="3"/>
        <v>TEC / 020 / 60223 / BAT</v>
      </c>
    </row>
    <row r="15" spans="1:12" s="50" customFormat="1" ht="23.25" customHeight="1">
      <c r="A15" s="78" t="s">
        <v>210</v>
      </c>
      <c r="B15" s="78" t="s">
        <v>188</v>
      </c>
      <c r="C15" s="78" t="s">
        <v>51</v>
      </c>
      <c r="D15" s="177">
        <v>14</v>
      </c>
      <c r="E15" s="238">
        <v>425</v>
      </c>
      <c r="F15" s="179">
        <v>0.2</v>
      </c>
      <c r="G15" s="178"/>
      <c r="H15" s="178" t="s">
        <v>180</v>
      </c>
      <c r="I15" s="243">
        <f t="shared" si="0"/>
        <v>5950</v>
      </c>
      <c r="J15" s="243">
        <f t="shared" si="1"/>
        <v>7140</v>
      </c>
      <c r="K15" s="50" t="str">
        <f t="shared" si="2"/>
        <v>Investissement</v>
      </c>
      <c r="L15" s="50" t="str">
        <f t="shared" si="3"/>
        <v>TEC / 020 / 2183 / BAT</v>
      </c>
    </row>
    <row r="16" spans="1:12" s="50" customFormat="1" ht="23.25" customHeight="1">
      <c r="A16" s="78" t="s">
        <v>210</v>
      </c>
      <c r="B16" s="78" t="s">
        <v>292</v>
      </c>
      <c r="C16" s="78" t="s">
        <v>47</v>
      </c>
      <c r="D16" s="177">
        <v>12</v>
      </c>
      <c r="E16" s="238">
        <v>17.5</v>
      </c>
      <c r="F16" s="179">
        <v>0.20000000298023224</v>
      </c>
      <c r="G16" s="178"/>
      <c r="H16" s="178" t="s">
        <v>180</v>
      </c>
      <c r="I16" s="243">
        <f>D16*E16</f>
        <v>210</v>
      </c>
      <c r="J16" s="243">
        <f>I16*(1+F16)</f>
        <v>252.00000062584877</v>
      </c>
      <c r="K16" s="50" t="str">
        <f>IF(ISTEXT(VLOOKUP(C16,Imputations,7,FALSE)),VLOOKUP(C16,Imputations,7,FALSE),"")</f>
        <v>Fonctionnement</v>
      </c>
      <c r="L16" s="50" t="str">
        <f>IF(ISTEXT(VLOOKUP(C16,Imputations,3,FALSE)),VLOOKUP(C16,Imputations,3,FALSE)&amp;" / "&amp;VLOOKUP(C16,Imputations,4,FALSE)&amp;" / "&amp;VLOOKUP(C16,Imputations,5,FALSE)&amp;" / "&amp;VLOOKUP(C16,Imputations,6,FALSE),"")</f>
        <v>TEC / 020 / 60223 / BAT</v>
      </c>
    </row>
    <row r="17" spans="1:12" s="50" customFormat="1" ht="23.25" customHeight="1">
      <c r="A17" s="78" t="s">
        <v>210</v>
      </c>
      <c r="B17" s="78" t="s">
        <v>262</v>
      </c>
      <c r="C17" s="78" t="s">
        <v>259</v>
      </c>
      <c r="D17" s="177">
        <v>5</v>
      </c>
      <c r="E17" s="238">
        <v>11.85</v>
      </c>
      <c r="F17" s="179">
        <v>0.20000000298023224</v>
      </c>
      <c r="G17" s="178"/>
      <c r="H17" s="178"/>
      <c r="I17" s="243">
        <f t="shared" si="0"/>
        <v>59.25</v>
      </c>
      <c r="J17" s="243">
        <f t="shared" si="1"/>
        <v>71.10000017657876</v>
      </c>
      <c r="K17" s="50" t="str">
        <f t="shared" si="2"/>
        <v>Fonctionnement</v>
      </c>
      <c r="L17" s="50" t="str">
        <f t="shared" si="3"/>
        <v>TEC / 20 / 60223 / ADM</v>
      </c>
    </row>
    <row r="18" spans="1:12" s="50" customFormat="1" ht="23.25" customHeight="1">
      <c r="A18" s="78" t="s">
        <v>210</v>
      </c>
      <c r="B18" s="78" t="s">
        <v>247</v>
      </c>
      <c r="C18" s="78" t="s">
        <v>47</v>
      </c>
      <c r="D18" s="177">
        <v>1</v>
      </c>
      <c r="E18" s="238">
        <v>281</v>
      </c>
      <c r="F18" s="179">
        <v>0.20000000298023224</v>
      </c>
      <c r="G18" s="178"/>
      <c r="H18" s="178"/>
      <c r="I18" s="243">
        <f t="shared" si="0"/>
        <v>281</v>
      </c>
      <c r="J18" s="243">
        <f t="shared" si="1"/>
        <v>337.20000083744526</v>
      </c>
      <c r="K18" s="50" t="str">
        <f t="shared" si="2"/>
        <v>Fonctionnement</v>
      </c>
      <c r="L18" s="50" t="str">
        <f t="shared" si="3"/>
        <v>TEC / 020 / 60223 / BAT</v>
      </c>
    </row>
    <row r="19" spans="1:12">
      <c r="A19" s="7"/>
      <c r="B19" s="7"/>
      <c r="C19" s="7"/>
      <c r="D19" s="8"/>
      <c r="E19" s="239"/>
      <c r="F19" s="15"/>
      <c r="G19" s="12"/>
      <c r="H19" s="12"/>
      <c r="I19" s="239"/>
      <c r="J19" s="239"/>
      <c r="K19" s="7"/>
      <c r="L19" s="7"/>
    </row>
    <row r="189" spans="1:12" s="2" customFormat="1" ht="25.5">
      <c r="A189" s="5" t="s">
        <v>74</v>
      </c>
      <c r="B189" s="5" t="s">
        <v>17</v>
      </c>
      <c r="C189" s="5" t="s">
        <v>40</v>
      </c>
      <c r="D189" s="4" t="s">
        <v>41</v>
      </c>
      <c r="E189" s="237" t="s">
        <v>42</v>
      </c>
      <c r="F189" s="14" t="s">
        <v>43</v>
      </c>
      <c r="G189" s="11" t="s">
        <v>18</v>
      </c>
      <c r="H189" s="11" t="s">
        <v>56</v>
      </c>
      <c r="I189" s="242" t="s">
        <v>44</v>
      </c>
      <c r="J189" s="242" t="s">
        <v>45</v>
      </c>
      <c r="K189" s="5" t="s">
        <v>32</v>
      </c>
      <c r="L189" s="5" t="s">
        <v>195</v>
      </c>
    </row>
    <row r="190" spans="1:12">
      <c r="A190" s="180" t="s">
        <v>210</v>
      </c>
      <c r="B190" s="180" t="s">
        <v>188</v>
      </c>
      <c r="C190" s="180" t="s">
        <v>51</v>
      </c>
      <c r="D190" s="181">
        <v>14</v>
      </c>
      <c r="E190" s="240">
        <v>425</v>
      </c>
      <c r="F190" s="183">
        <v>0.2</v>
      </c>
      <c r="G190" s="182"/>
      <c r="H190" s="182" t="s">
        <v>180</v>
      </c>
      <c r="I190" s="243">
        <v>5950</v>
      </c>
      <c r="J190" s="243">
        <v>7140</v>
      </c>
      <c r="K190" s="50" t="s">
        <v>53</v>
      </c>
      <c r="L190" s="50" t="s">
        <v>291</v>
      </c>
    </row>
    <row r="191" spans="1:12">
      <c r="A191" s="180" t="s">
        <v>210</v>
      </c>
      <c r="B191" s="180" t="s">
        <v>292</v>
      </c>
      <c r="C191" s="180" t="s">
        <v>47</v>
      </c>
      <c r="D191" s="181">
        <v>12</v>
      </c>
      <c r="E191" s="240">
        <v>17.5</v>
      </c>
      <c r="F191" s="183">
        <v>0.20000000298023224</v>
      </c>
      <c r="G191" s="182"/>
      <c r="H191" s="182" t="s">
        <v>180</v>
      </c>
      <c r="I191" s="243">
        <v>210</v>
      </c>
      <c r="J191" s="243">
        <v>252.00000062584877</v>
      </c>
      <c r="K191" s="50" t="s">
        <v>37</v>
      </c>
      <c r="L191" s="50" t="s">
        <v>228</v>
      </c>
    </row>
    <row r="192" spans="1:12">
      <c r="A192" s="180" t="s">
        <v>210</v>
      </c>
      <c r="B192" s="180" t="s">
        <v>262</v>
      </c>
      <c r="C192" s="180" t="s">
        <v>259</v>
      </c>
      <c r="D192" s="181">
        <v>5</v>
      </c>
      <c r="E192" s="240">
        <v>11.85</v>
      </c>
      <c r="F192" s="183">
        <v>0.20000000298023224</v>
      </c>
      <c r="G192" s="182"/>
      <c r="H192" s="182"/>
      <c r="I192" s="243">
        <v>59.25</v>
      </c>
      <c r="J192" s="243">
        <v>71.10000017657876</v>
      </c>
      <c r="K192" s="50" t="s">
        <v>37</v>
      </c>
      <c r="L192" s="50" t="s">
        <v>271</v>
      </c>
    </row>
    <row r="193" spans="1:12">
      <c r="A193" s="180" t="s">
        <v>210</v>
      </c>
      <c r="B193" s="180" t="s">
        <v>247</v>
      </c>
      <c r="C193" s="180" t="s">
        <v>47</v>
      </c>
      <c r="D193" s="181">
        <v>1</v>
      </c>
      <c r="E193" s="240">
        <v>281</v>
      </c>
      <c r="F193" s="183">
        <v>0.20000000298023224</v>
      </c>
      <c r="G193" s="182"/>
      <c r="H193" s="182"/>
      <c r="I193" s="243">
        <v>281</v>
      </c>
      <c r="J193" s="243">
        <v>337.20000083744526</v>
      </c>
      <c r="K193" s="50" t="s">
        <v>37</v>
      </c>
      <c r="L193" s="50" t="s">
        <v>228</v>
      </c>
    </row>
    <row r="194" spans="1:12">
      <c r="A194" s="180"/>
      <c r="B194" s="180"/>
      <c r="C194" s="180"/>
      <c r="D194" s="181"/>
      <c r="E194" s="240"/>
      <c r="F194" s="183"/>
      <c r="G194" s="182"/>
      <c r="H194" s="182"/>
      <c r="I194" s="243"/>
      <c r="J194" s="243"/>
      <c r="K194" s="50"/>
      <c r="L194" s="50"/>
    </row>
    <row r="195" spans="1:12">
      <c r="A195" s="107"/>
      <c r="B195" s="107"/>
      <c r="C195" s="107"/>
      <c r="D195" s="108"/>
      <c r="E195" s="241"/>
      <c r="F195" s="110"/>
      <c r="G195" s="109"/>
      <c r="H195" s="109"/>
    </row>
    <row r="196" spans="1:12">
      <c r="A196" s="107"/>
      <c r="B196" s="107"/>
      <c r="C196" s="107"/>
      <c r="D196" s="108"/>
      <c r="E196" s="241"/>
      <c r="F196" s="110"/>
      <c r="G196" s="109"/>
      <c r="H196" s="109"/>
    </row>
    <row r="197" spans="1:12">
      <c r="A197" s="107"/>
      <c r="B197" s="107"/>
      <c r="C197" s="107"/>
      <c r="D197" s="108"/>
      <c r="E197" s="241"/>
      <c r="F197" s="110"/>
      <c r="G197" s="109"/>
      <c r="H197" s="109"/>
    </row>
    <row r="198" spans="1:12">
      <c r="A198" s="107"/>
      <c r="B198" s="107"/>
      <c r="C198" s="107"/>
      <c r="D198" s="108"/>
      <c r="E198" s="241"/>
      <c r="F198" s="110"/>
      <c r="G198" s="109"/>
      <c r="H198" s="109"/>
    </row>
    <row r="199" spans="1:12">
      <c r="A199" s="107"/>
      <c r="B199" s="107"/>
      <c r="C199" s="107"/>
      <c r="D199" s="108"/>
      <c r="E199" s="241"/>
      <c r="F199" s="110"/>
      <c r="G199" s="109"/>
      <c r="H199" s="109"/>
    </row>
    <row r="200" spans="1:12">
      <c r="A200" s="107"/>
      <c r="B200" s="107"/>
      <c r="C200" s="107"/>
      <c r="D200" s="108"/>
      <c r="E200" s="241"/>
      <c r="F200" s="110"/>
      <c r="G200" s="109"/>
      <c r="H200" s="109"/>
    </row>
    <row r="201" spans="1:12">
      <c r="A201" s="107"/>
      <c r="B201" s="107"/>
      <c r="C201" s="107"/>
      <c r="D201" s="108"/>
      <c r="E201" s="241"/>
      <c r="F201" s="110"/>
      <c r="G201" s="109"/>
      <c r="H201" s="109"/>
    </row>
    <row r="202" spans="1:12">
      <c r="A202" s="107"/>
      <c r="B202" s="107"/>
      <c r="C202" s="107"/>
      <c r="D202" s="108"/>
      <c r="E202" s="241"/>
      <c r="F202" s="110"/>
      <c r="G202" s="109"/>
      <c r="H202" s="109"/>
    </row>
    <row r="203" spans="1:12">
      <c r="A203" s="107"/>
      <c r="B203" s="107"/>
      <c r="C203" s="107"/>
      <c r="D203" s="108"/>
      <c r="E203" s="241"/>
      <c r="F203" s="110"/>
      <c r="G203" s="109"/>
      <c r="H203" s="109"/>
    </row>
    <row r="204" spans="1:12">
      <c r="A204" s="107"/>
      <c r="B204" s="107"/>
      <c r="C204" s="107"/>
      <c r="D204" s="108"/>
      <c r="E204" s="241"/>
      <c r="F204" s="110"/>
      <c r="G204" s="109"/>
      <c r="H204" s="109"/>
    </row>
    <row r="205" spans="1:12">
      <c r="A205" s="107"/>
      <c r="B205" s="107"/>
      <c r="C205" s="107"/>
      <c r="D205" s="108"/>
      <c r="E205" s="241"/>
      <c r="F205" s="110"/>
      <c r="G205" s="109"/>
      <c r="H205" s="109"/>
    </row>
    <row r="206" spans="1:12">
      <c r="A206" s="107"/>
      <c r="B206" s="107"/>
      <c r="C206" s="107"/>
      <c r="D206" s="108"/>
      <c r="E206" s="241"/>
      <c r="F206" s="110"/>
      <c r="G206" s="109"/>
      <c r="H206" s="109"/>
    </row>
    <row r="207" spans="1:12">
      <c r="A207" s="107"/>
      <c r="B207" s="107"/>
      <c r="C207" s="107"/>
      <c r="D207" s="108"/>
      <c r="E207" s="241"/>
      <c r="F207" s="110"/>
      <c r="G207" s="109"/>
      <c r="H207" s="109"/>
    </row>
    <row r="208" spans="1:12">
      <c r="A208" s="107"/>
      <c r="B208" s="107"/>
      <c r="C208" s="107"/>
      <c r="D208" s="108"/>
      <c r="E208" s="241"/>
      <c r="F208" s="110"/>
      <c r="G208" s="109"/>
      <c r="H208" s="109"/>
    </row>
    <row r="209" spans="1:8">
      <c r="A209" s="107"/>
      <c r="B209" s="107"/>
      <c r="C209" s="107"/>
      <c r="D209" s="108"/>
      <c r="E209" s="241"/>
      <c r="F209" s="110"/>
      <c r="G209" s="109"/>
      <c r="H209" s="109"/>
    </row>
    <row r="210" spans="1:8">
      <c r="A210" s="107"/>
      <c r="B210" s="107"/>
      <c r="C210" s="107"/>
      <c r="D210" s="108"/>
      <c r="E210" s="241"/>
      <c r="F210" s="110"/>
      <c r="G210" s="109"/>
      <c r="H210" s="109"/>
    </row>
    <row r="211" spans="1:8">
      <c r="A211" s="107"/>
      <c r="B211" s="107"/>
      <c r="C211" s="107"/>
      <c r="D211" s="108"/>
      <c r="E211" s="241"/>
      <c r="F211" s="110"/>
      <c r="G211" s="109"/>
      <c r="H211" s="109"/>
    </row>
    <row r="212" spans="1:8">
      <c r="A212" s="107"/>
      <c r="B212" s="107"/>
      <c r="C212" s="107"/>
      <c r="D212" s="108"/>
      <c r="E212" s="241"/>
      <c r="F212" s="110"/>
      <c r="G212" s="109"/>
      <c r="H212" s="109"/>
    </row>
    <row r="213" spans="1:8">
      <c r="A213" s="107"/>
      <c r="B213" s="107"/>
      <c r="C213" s="107"/>
      <c r="D213" s="108"/>
      <c r="E213" s="241"/>
      <c r="F213" s="110"/>
      <c r="G213" s="109"/>
      <c r="H213" s="109"/>
    </row>
    <row r="214" spans="1:8">
      <c r="A214" s="107"/>
      <c r="B214" s="107"/>
      <c r="C214" s="107"/>
      <c r="D214" s="108"/>
      <c r="E214" s="241"/>
      <c r="F214" s="110"/>
      <c r="G214" s="109"/>
      <c r="H214" s="109"/>
    </row>
    <row r="215" spans="1:8">
      <c r="A215" s="107"/>
      <c r="B215" s="107"/>
      <c r="C215" s="107"/>
      <c r="D215" s="108"/>
      <c r="E215" s="241"/>
      <c r="F215" s="110"/>
      <c r="G215" s="109"/>
      <c r="H215" s="109"/>
    </row>
  </sheetData>
  <sheetProtection sheet="1" objects="1" scenarios="1" selectLockedCells="1" sort="0" autoFilter="0" pivotTables="0"/>
  <autoFilter ref="A3:L18"/>
  <sortState ref="A4:L18">
    <sortCondition ref="A7"/>
  </sortState>
  <conditionalFormatting sqref="A5:A18">
    <cfRule type="expression" dxfId="22" priority="15">
      <formula>OR(AND(ISERROR(VLOOKUP(A5,Liste_Entêtes,1,FALSE)),LEN(A5)&gt;0),A5="Numéro")</formula>
    </cfRule>
  </conditionalFormatting>
  <conditionalFormatting sqref="C5:C18">
    <cfRule type="expression" dxfId="21" priority="14">
      <formula>OR(AND(ISERROR(VLOOKUP(C5,Liste_Imputations,1,FALSE)),LEN(C5)&gt;0),C5="Code")</formula>
    </cfRule>
  </conditionalFormatting>
  <conditionalFormatting sqref="H5:H18">
    <cfRule type="expression" dxfId="20" priority="13">
      <formula>OR(AND(ISERROR(VLOOKUP(H5,Liste_Interventions,1,FALSE)),LEN(H5)&gt;0),H5="Code")</formula>
    </cfRule>
  </conditionalFormatting>
  <conditionalFormatting sqref="A4">
    <cfRule type="expression" dxfId="19" priority="6">
      <formula>OR(AND(ISERROR(VLOOKUP(A4,Liste_Entêtes,1,FALSE)),LEN(A4)&gt;0),A4="Numéro")</formula>
    </cfRule>
  </conditionalFormatting>
  <conditionalFormatting sqref="C4">
    <cfRule type="expression" dxfId="18" priority="5">
      <formula>OR(AND(ISERROR(VLOOKUP(C4,Liste_Imputations,1,FALSE)),LEN(C4)&gt;0),C4="Code")</formula>
    </cfRule>
  </conditionalFormatting>
  <conditionalFormatting sqref="H4">
    <cfRule type="expression" dxfId="17" priority="4">
      <formula>OR(AND(ISERROR(VLOOKUP(H4,Liste_Interventions,1,FALSE)),LEN(H4)&gt;0),H4="Code")</formula>
    </cfRule>
  </conditionalFormatting>
  <dataValidations count="3">
    <dataValidation type="list" allowBlank="1" showInputMessage="1" showErrorMessage="1" sqref="H4:H18">
      <formula1>Liste_Interventions</formula1>
    </dataValidation>
    <dataValidation type="list" allowBlank="1" showInputMessage="1" showErrorMessage="1" sqref="A4:A18">
      <formula1>Liste_Entêtes</formula1>
    </dataValidation>
    <dataValidation type="list" allowBlank="1" showInputMessage="1" showErrorMessage="1" sqref="C4:C18">
      <formula1>Liste_Imputations</formula1>
    </dataValidation>
  </dataValidations>
  <printOptions horizontalCentered="1"/>
  <pageMargins left="0.39370078740157483" right="0.39370078740157483" top="0.19685039370078741" bottom="0.19685039370078741" header="0.19685039370078741" footer="0.19685039370078741"/>
  <pageSetup paperSize="9" scale="71" fitToHeight="0" orientation="landscape" verticalDpi="0" r:id="rId1"/>
  <headerFooter>
    <oddFooter>&amp;CPage &amp;P sur &amp;N - &amp;D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N60"/>
  <sheetViews>
    <sheetView zoomScale="85" zoomScaleNormal="85" workbookViewId="0">
      <pane xSplit="1" ySplit="10" topLeftCell="B11" activePane="bottomRight" state="frozen"/>
      <selection activeCell="B3" sqref="B3"/>
      <selection pane="topRight" activeCell="B3" sqref="B3"/>
      <selection pane="bottomLeft" activeCell="B3" sqref="B3"/>
      <selection pane="bottomRight" activeCell="H3" sqref="H3:I3"/>
    </sheetView>
  </sheetViews>
  <sheetFormatPr baseColWidth="10" defaultRowHeight="12.75"/>
  <cols>
    <col min="1" max="1" width="9.28515625" style="117" customWidth="1"/>
    <col min="2" max="2" width="18" style="117" customWidth="1"/>
    <col min="3" max="3" width="36" style="117" customWidth="1"/>
    <col min="4" max="4" width="14.140625" style="120" customWidth="1"/>
    <col min="5" max="6" width="11.42578125" style="121"/>
    <col min="7" max="7" width="9.7109375" style="122" customWidth="1"/>
    <col min="8" max="8" width="12.140625" style="122" customWidth="1"/>
    <col min="9" max="9" width="14.28515625" style="121" customWidth="1"/>
    <col min="10" max="11" width="11.42578125" style="117"/>
    <col min="12" max="12" width="87.85546875" style="117" customWidth="1"/>
    <col min="13" max="13" width="12.140625" style="117" bestFit="1" customWidth="1"/>
    <col min="14" max="16384" width="11.42578125" style="117"/>
  </cols>
  <sheetData>
    <row r="1" spans="1:14" s="112" customFormat="1" ht="30" customHeight="1">
      <c r="D1" s="113"/>
      <c r="E1" s="114"/>
      <c r="F1" s="114"/>
      <c r="G1" s="115"/>
      <c r="H1" s="115"/>
      <c r="I1" s="116" t="str">
        <f>Ville&amp;", le "&amp;TEXT(VLOOKUP(H3,Entêtes_Commandes,2,FALSE),"jj/mm/aaaa")</f>
        <v>Excel-les-Bains, le 20/08/2014</v>
      </c>
    </row>
    <row r="3" spans="1:14" ht="25.5">
      <c r="D3" s="272" t="s">
        <v>203</v>
      </c>
      <c r="E3" s="272"/>
      <c r="F3" s="272"/>
      <c r="G3" s="272"/>
      <c r="H3" s="273" t="s">
        <v>210</v>
      </c>
      <c r="I3" s="273"/>
      <c r="M3" s="118" t="s">
        <v>74</v>
      </c>
      <c r="N3" s="119" t="s">
        <v>209</v>
      </c>
    </row>
    <row r="4" spans="1:14">
      <c r="H4" s="123"/>
      <c r="M4" s="124" t="str">
        <f>H3</f>
        <v>BAT140040</v>
      </c>
      <c r="N4" s="120">
        <f>COUNTIF('Lignes commandes'!A3:A19,M4)</f>
        <v>4</v>
      </c>
    </row>
    <row r="5" spans="1:14" ht="33" customHeight="1"/>
    <row r="6" spans="1:14" s="112" customFormat="1" ht="45" customHeight="1">
      <c r="C6" s="125" t="str">
        <f>"Auteur : "&amp;VLOOKUP(H3,Entêtes_Commandes,4,FALSE)&amp;"
"&amp;VLOOKUP(VLOOKUP(H3,Entêtes_Commandes,4,FALSE),Agents_Services,3,FALSE)&amp; "
"&amp;VLOOKUP(VLOOKUP(H3,Entêtes_Commandes,4,FALSE),Agents_Services,4,FALSE)</f>
        <v>Auteur : MARCHALL Bernard
04.78.23.22.21
bernard.marchall@excel-les-bains.fr</v>
      </c>
      <c r="D6" s="270" t="str">
        <f>VLOOKUP(H3,Entêtes_Commandes,3,FALSE)</f>
        <v>Bricodépôt</v>
      </c>
      <c r="E6" s="270"/>
      <c r="F6" s="270"/>
      <c r="G6" s="270"/>
      <c r="H6" s="270"/>
      <c r="I6" s="270"/>
    </row>
    <row r="7" spans="1:14" s="112" customFormat="1" ht="22.5" customHeight="1">
      <c r="C7" s="112" t="str">
        <f>"Service : "&amp;VLOOKUP(H3,Entêtes_Commandes,7,FALSE)</f>
        <v>Service : 15600.6000032797</v>
      </c>
      <c r="D7" s="271" t="str">
        <f>VLOOKUP(H3,Entêtes_Commandes,9,FALSE)</f>
        <v>4 rue des Vignes</v>
      </c>
      <c r="E7" s="271"/>
      <c r="F7" s="271"/>
      <c r="G7" s="271"/>
      <c r="H7" s="271"/>
      <c r="I7" s="271"/>
    </row>
    <row r="8" spans="1:14" s="112" customFormat="1" ht="22.5" customHeight="1">
      <c r="C8" s="275" t="str">
        <f>"Objet : "&amp;VLOOKUP(H3,Entêtes_Commandes,5,FALSE)</f>
        <v>Objet : Founitures diverses</v>
      </c>
      <c r="D8" s="271" t="str">
        <f>VLOOKUP(H3,Entêtes_Commandes,10,FALSE)</f>
        <v>69999 Excel-les-Bains</v>
      </c>
      <c r="E8" s="271"/>
      <c r="F8" s="271"/>
      <c r="G8" s="271"/>
      <c r="H8" s="271"/>
      <c r="I8" s="271"/>
    </row>
    <row r="9" spans="1:14" s="112" customFormat="1" ht="22.5" customHeight="1" thickBot="1">
      <c r="C9" s="276"/>
      <c r="D9" s="113"/>
      <c r="E9" s="114"/>
      <c r="F9" s="114"/>
      <c r="G9" s="115"/>
      <c r="H9" s="115"/>
      <c r="I9" s="114"/>
    </row>
    <row r="10" spans="1:14" s="131" customFormat="1" ht="36" customHeight="1" thickBot="1">
      <c r="A10" s="126" t="s">
        <v>189</v>
      </c>
      <c r="B10" s="280" t="s">
        <v>190</v>
      </c>
      <c r="C10" s="280"/>
      <c r="D10" s="127" t="s">
        <v>41</v>
      </c>
      <c r="E10" s="128" t="s">
        <v>191</v>
      </c>
      <c r="F10" s="128" t="s">
        <v>44</v>
      </c>
      <c r="G10" s="129" t="s">
        <v>43</v>
      </c>
      <c r="H10" s="129" t="s">
        <v>196</v>
      </c>
      <c r="I10" s="130" t="s">
        <v>45</v>
      </c>
    </row>
    <row r="11" spans="1:14" s="138" customFormat="1" ht="36" customHeight="1">
      <c r="A11" s="132">
        <v>1</v>
      </c>
      <c r="B11" s="274" t="str">
        <f>IF(ISTEXT('Lignes commandes'!B190),'Lignes commandes'!B190,"")</f>
        <v>Kits fenêtres doubles PVC complets</v>
      </c>
      <c r="C11" s="274"/>
      <c r="D11" s="133">
        <f>IF(ISNUMBER('Lignes commandes'!D190),'Lignes commandes'!D190,"")</f>
        <v>14</v>
      </c>
      <c r="E11" s="134">
        <f>IF(ISNUMBER('Lignes commandes'!E190),'Lignes commandes'!E190,"")</f>
        <v>425</v>
      </c>
      <c r="F11" s="134">
        <f>IF(ISNUMBER(D11*E11),D11*E11,"")</f>
        <v>5950</v>
      </c>
      <c r="G11" s="135">
        <f>IF(ISNUMBER('Lignes commandes'!F190),'Lignes commandes'!F190,"")</f>
        <v>0.2</v>
      </c>
      <c r="H11" s="136">
        <f>F11*G11</f>
        <v>1190</v>
      </c>
      <c r="I11" s="137">
        <f>IF(ISNUMBER(F11+H11),F11+H11,"")</f>
        <v>7140</v>
      </c>
    </row>
    <row r="12" spans="1:14" s="138" customFormat="1" ht="36" customHeight="1">
      <c r="A12" s="139">
        <v>2</v>
      </c>
      <c r="B12" s="274" t="str">
        <f>IF(ISTEXT('Lignes commandes'!B191),'Lignes commandes'!B191,"")</f>
        <v>Pistolets joint silicone</v>
      </c>
      <c r="C12" s="274"/>
      <c r="D12" s="133">
        <f>IF(ISNUMBER('Lignes commandes'!D191),'Lignes commandes'!D191,"")</f>
        <v>12</v>
      </c>
      <c r="E12" s="134">
        <f>IF(ISNUMBER('Lignes commandes'!E191),'Lignes commandes'!E191,"")</f>
        <v>17.5</v>
      </c>
      <c r="F12" s="134">
        <f t="shared" ref="F12:F30" si="0">IF(ISNUMBER(D12*E12),D12*E12,"")</f>
        <v>210</v>
      </c>
      <c r="G12" s="135">
        <f>IF(ISNUMBER('Lignes commandes'!F191),'Lignes commandes'!F191,"")</f>
        <v>0.20000000298023224</v>
      </c>
      <c r="H12" s="136">
        <f>IF(ISNUMBER(F12*G12),F12*G12,"")</f>
        <v>42.00000062584877</v>
      </c>
      <c r="I12" s="137">
        <f t="shared" ref="I12:I30" si="1">IF(ISNUMBER(F12+H12),F12+H12,"")</f>
        <v>252.00000062584877</v>
      </c>
    </row>
    <row r="13" spans="1:14" s="138" customFormat="1" ht="36" customHeight="1">
      <c r="A13" s="139">
        <v>3</v>
      </c>
      <c r="B13" s="274" t="str">
        <f>IF(ISTEXT('Lignes commandes'!B192),'Lignes commandes'!B192,"")</f>
        <v>Sacs poubelle 30 litres pour la mairie</v>
      </c>
      <c r="C13" s="274"/>
      <c r="D13" s="133">
        <f>IF(ISNUMBER('Lignes commandes'!D192),'Lignes commandes'!D192,"")</f>
        <v>5</v>
      </c>
      <c r="E13" s="134">
        <f>IF(ISNUMBER('Lignes commandes'!E192),'Lignes commandes'!E192,"")</f>
        <v>11.85</v>
      </c>
      <c r="F13" s="134">
        <f t="shared" si="0"/>
        <v>59.25</v>
      </c>
      <c r="G13" s="135">
        <f>IF(ISNUMBER('Lignes commandes'!F192),'Lignes commandes'!F192,"")</f>
        <v>0.20000000298023224</v>
      </c>
      <c r="H13" s="136">
        <f t="shared" ref="H13:H30" si="2">IF(ISNUMBER(F13*G13),F13*G13,"")</f>
        <v>11.85000017657876</v>
      </c>
      <c r="I13" s="137">
        <f t="shared" si="1"/>
        <v>71.10000017657876</v>
      </c>
    </row>
    <row r="14" spans="1:14" s="138" customFormat="1" ht="36" customHeight="1">
      <c r="A14" s="139">
        <v>4</v>
      </c>
      <c r="B14" s="274" t="str">
        <f>IF(ISTEXT('Lignes commandes'!B193),'Lignes commandes'!B193,"")</f>
        <v>Diverses fournitures de peinture</v>
      </c>
      <c r="C14" s="274"/>
      <c r="D14" s="133">
        <f>IF(ISNUMBER('Lignes commandes'!D193),'Lignes commandes'!D193,"")</f>
        <v>1</v>
      </c>
      <c r="E14" s="134">
        <f>IF(ISNUMBER('Lignes commandes'!E193),'Lignes commandes'!E193,"")</f>
        <v>281</v>
      </c>
      <c r="F14" s="134">
        <f t="shared" si="0"/>
        <v>281</v>
      </c>
      <c r="G14" s="135">
        <f>IF(ISNUMBER('Lignes commandes'!F193),'Lignes commandes'!F193,"")</f>
        <v>0.20000000298023224</v>
      </c>
      <c r="H14" s="136">
        <f t="shared" si="2"/>
        <v>56.200000837445259</v>
      </c>
      <c r="I14" s="137">
        <f t="shared" si="1"/>
        <v>337.20000083744526</v>
      </c>
    </row>
    <row r="15" spans="1:14" s="138" customFormat="1" ht="36" customHeight="1">
      <c r="A15" s="139">
        <v>5</v>
      </c>
      <c r="B15" s="274" t="str">
        <f>IF(ISTEXT('Lignes commandes'!B194),'Lignes commandes'!B194,"")</f>
        <v/>
      </c>
      <c r="C15" s="274"/>
      <c r="D15" s="133" t="str">
        <f>IF(ISNUMBER('Lignes commandes'!D194),'Lignes commandes'!D194,"")</f>
        <v/>
      </c>
      <c r="E15" s="134" t="str">
        <f>IF(ISNUMBER('Lignes commandes'!E194),'Lignes commandes'!E194,"")</f>
        <v/>
      </c>
      <c r="F15" s="134" t="str">
        <f t="shared" si="0"/>
        <v/>
      </c>
      <c r="G15" s="135" t="str">
        <f>IF(ISNUMBER('Lignes commandes'!F194),'Lignes commandes'!F194,"")</f>
        <v/>
      </c>
      <c r="H15" s="136" t="str">
        <f t="shared" si="2"/>
        <v/>
      </c>
      <c r="I15" s="137" t="str">
        <f t="shared" si="1"/>
        <v/>
      </c>
    </row>
    <row r="16" spans="1:14" s="138" customFormat="1" ht="36" customHeight="1">
      <c r="A16" s="139">
        <v>6</v>
      </c>
      <c r="B16" s="274" t="str">
        <f>IF(ISTEXT('Lignes commandes'!B195),'Lignes commandes'!B195,"")</f>
        <v/>
      </c>
      <c r="C16" s="274"/>
      <c r="D16" s="133" t="str">
        <f>IF(ISNUMBER('Lignes commandes'!D195),'Lignes commandes'!D195,"")</f>
        <v/>
      </c>
      <c r="E16" s="134" t="str">
        <f>IF(ISNUMBER('Lignes commandes'!E195),'Lignes commandes'!E195,"")</f>
        <v/>
      </c>
      <c r="F16" s="134" t="str">
        <f t="shared" si="0"/>
        <v/>
      </c>
      <c r="G16" s="135" t="str">
        <f>IF(ISNUMBER('Lignes commandes'!F195),'Lignes commandes'!F195,"")</f>
        <v/>
      </c>
      <c r="H16" s="136" t="str">
        <f t="shared" si="2"/>
        <v/>
      </c>
      <c r="I16" s="137" t="str">
        <f t="shared" si="1"/>
        <v/>
      </c>
    </row>
    <row r="17" spans="1:9" s="138" customFormat="1" ht="36" customHeight="1">
      <c r="A17" s="139">
        <v>7</v>
      </c>
      <c r="B17" s="274" t="str">
        <f>IF(ISTEXT('Lignes commandes'!B196),'Lignes commandes'!B196,"")</f>
        <v/>
      </c>
      <c r="C17" s="274"/>
      <c r="D17" s="133" t="str">
        <f>IF(ISNUMBER('Lignes commandes'!D196),'Lignes commandes'!D196,"")</f>
        <v/>
      </c>
      <c r="E17" s="134" t="str">
        <f>IF(ISNUMBER('Lignes commandes'!E196),'Lignes commandes'!E196,"")</f>
        <v/>
      </c>
      <c r="F17" s="134" t="str">
        <f t="shared" si="0"/>
        <v/>
      </c>
      <c r="G17" s="135" t="str">
        <f>IF(ISNUMBER('Lignes commandes'!F196),'Lignes commandes'!F196,"")</f>
        <v/>
      </c>
      <c r="H17" s="136" t="str">
        <f t="shared" si="2"/>
        <v/>
      </c>
      <c r="I17" s="137" t="str">
        <f t="shared" si="1"/>
        <v/>
      </c>
    </row>
    <row r="18" spans="1:9" s="138" customFormat="1" ht="36" customHeight="1">
      <c r="A18" s="139">
        <v>8</v>
      </c>
      <c r="B18" s="274" t="str">
        <f>IF(ISTEXT('Lignes commandes'!B197),'Lignes commandes'!B197,"")</f>
        <v/>
      </c>
      <c r="C18" s="274"/>
      <c r="D18" s="133" t="str">
        <f>IF(ISNUMBER('Lignes commandes'!D197),'Lignes commandes'!D197,"")</f>
        <v/>
      </c>
      <c r="E18" s="134" t="str">
        <f>IF(ISNUMBER('Lignes commandes'!E197),'Lignes commandes'!E197,"")</f>
        <v/>
      </c>
      <c r="F18" s="134" t="str">
        <f t="shared" si="0"/>
        <v/>
      </c>
      <c r="G18" s="135" t="str">
        <f>IF(ISNUMBER('Lignes commandes'!F197),'Lignes commandes'!F197,"")</f>
        <v/>
      </c>
      <c r="H18" s="136" t="str">
        <f t="shared" si="2"/>
        <v/>
      </c>
      <c r="I18" s="137" t="str">
        <f t="shared" si="1"/>
        <v/>
      </c>
    </row>
    <row r="19" spans="1:9" s="138" customFormat="1" ht="36" customHeight="1">
      <c r="A19" s="139">
        <v>9</v>
      </c>
      <c r="B19" s="274" t="str">
        <f>IF(ISTEXT('Lignes commandes'!B198),'Lignes commandes'!B198,"")</f>
        <v/>
      </c>
      <c r="C19" s="274"/>
      <c r="D19" s="133" t="str">
        <f>IF(ISNUMBER('Lignes commandes'!D198),'Lignes commandes'!D198,"")</f>
        <v/>
      </c>
      <c r="E19" s="134" t="str">
        <f>IF(ISNUMBER('Lignes commandes'!E198),'Lignes commandes'!E198,"")</f>
        <v/>
      </c>
      <c r="F19" s="134" t="str">
        <f t="shared" si="0"/>
        <v/>
      </c>
      <c r="G19" s="135" t="str">
        <f>IF(ISNUMBER('Lignes commandes'!F198),'Lignes commandes'!F198,"")</f>
        <v/>
      </c>
      <c r="H19" s="136" t="str">
        <f t="shared" si="2"/>
        <v/>
      </c>
      <c r="I19" s="137" t="str">
        <f t="shared" si="1"/>
        <v/>
      </c>
    </row>
    <row r="20" spans="1:9" s="138" customFormat="1" ht="36" customHeight="1">
      <c r="A20" s="139">
        <v>10</v>
      </c>
      <c r="B20" s="274" t="str">
        <f>IF(ISTEXT('Lignes commandes'!B199),'Lignes commandes'!B199,"")</f>
        <v/>
      </c>
      <c r="C20" s="274"/>
      <c r="D20" s="133" t="str">
        <f>IF(ISNUMBER('Lignes commandes'!D199),'Lignes commandes'!D199,"")</f>
        <v/>
      </c>
      <c r="E20" s="134" t="str">
        <f>IF(ISNUMBER('Lignes commandes'!E199),'Lignes commandes'!E199,"")</f>
        <v/>
      </c>
      <c r="F20" s="134" t="str">
        <f t="shared" si="0"/>
        <v/>
      </c>
      <c r="G20" s="135" t="str">
        <f>IF(ISNUMBER('Lignes commandes'!F199),'Lignes commandes'!F199,"")</f>
        <v/>
      </c>
      <c r="H20" s="136" t="str">
        <f t="shared" si="2"/>
        <v/>
      </c>
      <c r="I20" s="137" t="str">
        <f t="shared" si="1"/>
        <v/>
      </c>
    </row>
    <row r="21" spans="1:9" s="138" customFormat="1" ht="36" customHeight="1">
      <c r="A21" s="139">
        <v>11</v>
      </c>
      <c r="B21" s="274" t="str">
        <f>IF(ISTEXT('Lignes commandes'!B200),'Lignes commandes'!B200,"")</f>
        <v/>
      </c>
      <c r="C21" s="274"/>
      <c r="D21" s="133" t="str">
        <f>IF(ISNUMBER('Lignes commandes'!D200),'Lignes commandes'!D200,"")</f>
        <v/>
      </c>
      <c r="E21" s="134" t="str">
        <f>IF(ISNUMBER('Lignes commandes'!E200),'Lignes commandes'!E200,"")</f>
        <v/>
      </c>
      <c r="F21" s="134" t="str">
        <f t="shared" si="0"/>
        <v/>
      </c>
      <c r="G21" s="135" t="str">
        <f>IF(ISNUMBER('Lignes commandes'!F200),'Lignes commandes'!F200,"")</f>
        <v/>
      </c>
      <c r="H21" s="136" t="str">
        <f t="shared" si="2"/>
        <v/>
      </c>
      <c r="I21" s="137" t="str">
        <f t="shared" si="1"/>
        <v/>
      </c>
    </row>
    <row r="22" spans="1:9" s="138" customFormat="1" ht="36" customHeight="1">
      <c r="A22" s="139">
        <v>12</v>
      </c>
      <c r="B22" s="274" t="str">
        <f>IF(ISTEXT('Lignes commandes'!B201),'Lignes commandes'!B201,"")</f>
        <v/>
      </c>
      <c r="C22" s="274"/>
      <c r="D22" s="133" t="str">
        <f>IF(ISNUMBER('Lignes commandes'!D201),'Lignes commandes'!D201,"")</f>
        <v/>
      </c>
      <c r="E22" s="134" t="str">
        <f>IF(ISNUMBER('Lignes commandes'!E201),'Lignes commandes'!E201,"")</f>
        <v/>
      </c>
      <c r="F22" s="134" t="str">
        <f t="shared" si="0"/>
        <v/>
      </c>
      <c r="G22" s="135" t="str">
        <f>IF(ISNUMBER('Lignes commandes'!F201),'Lignes commandes'!F201,"")</f>
        <v/>
      </c>
      <c r="H22" s="136" t="str">
        <f t="shared" si="2"/>
        <v/>
      </c>
      <c r="I22" s="137" t="str">
        <f t="shared" si="1"/>
        <v/>
      </c>
    </row>
    <row r="23" spans="1:9" s="138" customFormat="1" ht="36" customHeight="1">
      <c r="A23" s="139">
        <v>13</v>
      </c>
      <c r="B23" s="274" t="str">
        <f>IF(ISTEXT('Lignes commandes'!B202),'Lignes commandes'!B202,"")</f>
        <v/>
      </c>
      <c r="C23" s="274"/>
      <c r="D23" s="133" t="str">
        <f>IF(ISNUMBER('Lignes commandes'!D202),'Lignes commandes'!D202,"")</f>
        <v/>
      </c>
      <c r="E23" s="134" t="str">
        <f>IF(ISNUMBER('Lignes commandes'!E202),'Lignes commandes'!E202,"")</f>
        <v/>
      </c>
      <c r="F23" s="134" t="str">
        <f t="shared" si="0"/>
        <v/>
      </c>
      <c r="G23" s="135" t="str">
        <f>IF(ISNUMBER('Lignes commandes'!F202),'Lignes commandes'!F202,"")</f>
        <v/>
      </c>
      <c r="H23" s="136" t="str">
        <f t="shared" si="2"/>
        <v/>
      </c>
      <c r="I23" s="137" t="str">
        <f t="shared" si="1"/>
        <v/>
      </c>
    </row>
    <row r="24" spans="1:9" s="138" customFormat="1" ht="36" customHeight="1">
      <c r="A24" s="139">
        <v>14</v>
      </c>
      <c r="B24" s="274" t="str">
        <f>IF(ISTEXT('Lignes commandes'!B203),'Lignes commandes'!B203,"")</f>
        <v/>
      </c>
      <c r="C24" s="274"/>
      <c r="D24" s="133" t="str">
        <f>IF(ISNUMBER('Lignes commandes'!D203),'Lignes commandes'!D203,"")</f>
        <v/>
      </c>
      <c r="E24" s="134" t="str">
        <f>IF(ISNUMBER('Lignes commandes'!E203),'Lignes commandes'!E203,"")</f>
        <v/>
      </c>
      <c r="F24" s="134" t="str">
        <f t="shared" si="0"/>
        <v/>
      </c>
      <c r="G24" s="135" t="str">
        <f>IF(ISNUMBER('Lignes commandes'!F203),'Lignes commandes'!F203,"")</f>
        <v/>
      </c>
      <c r="H24" s="136" t="str">
        <f t="shared" si="2"/>
        <v/>
      </c>
      <c r="I24" s="137" t="str">
        <f t="shared" si="1"/>
        <v/>
      </c>
    </row>
    <row r="25" spans="1:9" s="138" customFormat="1" ht="36" customHeight="1">
      <c r="A25" s="139">
        <v>15</v>
      </c>
      <c r="B25" s="274" t="str">
        <f>IF(ISTEXT('Lignes commandes'!B204),'Lignes commandes'!B204,"")</f>
        <v/>
      </c>
      <c r="C25" s="274"/>
      <c r="D25" s="133" t="str">
        <f>IF(ISNUMBER('Lignes commandes'!D204),'Lignes commandes'!D204,"")</f>
        <v/>
      </c>
      <c r="E25" s="134" t="str">
        <f>IF(ISNUMBER('Lignes commandes'!E204),'Lignes commandes'!E204,"")</f>
        <v/>
      </c>
      <c r="F25" s="134" t="str">
        <f t="shared" si="0"/>
        <v/>
      </c>
      <c r="G25" s="135" t="str">
        <f>IF(ISNUMBER('Lignes commandes'!F204),'Lignes commandes'!F204,"")</f>
        <v/>
      </c>
      <c r="H25" s="136" t="str">
        <f t="shared" si="2"/>
        <v/>
      </c>
      <c r="I25" s="137" t="str">
        <f t="shared" si="1"/>
        <v/>
      </c>
    </row>
    <row r="26" spans="1:9" s="138" customFormat="1" ht="36" customHeight="1">
      <c r="A26" s="139">
        <v>16</v>
      </c>
      <c r="B26" s="274" t="str">
        <f>IF(ISTEXT('Lignes commandes'!B205),'Lignes commandes'!B205,"")</f>
        <v/>
      </c>
      <c r="C26" s="274"/>
      <c r="D26" s="133" t="str">
        <f>IF(ISNUMBER('Lignes commandes'!D205),'Lignes commandes'!D205,"")</f>
        <v/>
      </c>
      <c r="E26" s="134" t="str">
        <f>IF(ISNUMBER('Lignes commandes'!E205),'Lignes commandes'!E205,"")</f>
        <v/>
      </c>
      <c r="F26" s="134" t="str">
        <f t="shared" si="0"/>
        <v/>
      </c>
      <c r="G26" s="135" t="str">
        <f>IF(ISNUMBER('Lignes commandes'!F205),'Lignes commandes'!F205,"")</f>
        <v/>
      </c>
      <c r="H26" s="136" t="str">
        <f t="shared" si="2"/>
        <v/>
      </c>
      <c r="I26" s="137" t="str">
        <f t="shared" si="1"/>
        <v/>
      </c>
    </row>
    <row r="27" spans="1:9" s="138" customFormat="1" ht="36" customHeight="1">
      <c r="A27" s="139">
        <v>17</v>
      </c>
      <c r="B27" s="274" t="str">
        <f>IF(ISTEXT('Lignes commandes'!B206),'Lignes commandes'!B206,"")</f>
        <v/>
      </c>
      <c r="C27" s="274"/>
      <c r="D27" s="133" t="str">
        <f>IF(ISNUMBER('Lignes commandes'!D206),'Lignes commandes'!D206,"")</f>
        <v/>
      </c>
      <c r="E27" s="134" t="str">
        <f>IF(ISNUMBER('Lignes commandes'!E206),'Lignes commandes'!E206,"")</f>
        <v/>
      </c>
      <c r="F27" s="134" t="str">
        <f t="shared" si="0"/>
        <v/>
      </c>
      <c r="G27" s="135" t="str">
        <f>IF(ISNUMBER('Lignes commandes'!F206),'Lignes commandes'!F206,"")</f>
        <v/>
      </c>
      <c r="H27" s="136" t="str">
        <f t="shared" si="2"/>
        <v/>
      </c>
      <c r="I27" s="137" t="str">
        <f t="shared" si="1"/>
        <v/>
      </c>
    </row>
    <row r="28" spans="1:9" s="138" customFormat="1" ht="36" customHeight="1">
      <c r="A28" s="139">
        <v>18</v>
      </c>
      <c r="B28" s="274" t="str">
        <f>IF(ISTEXT('Lignes commandes'!B207),'Lignes commandes'!B207,"")</f>
        <v/>
      </c>
      <c r="C28" s="274"/>
      <c r="D28" s="133" t="str">
        <f>IF(ISNUMBER('Lignes commandes'!D207),'Lignes commandes'!D207,"")</f>
        <v/>
      </c>
      <c r="E28" s="134" t="str">
        <f>IF(ISNUMBER('Lignes commandes'!E207),'Lignes commandes'!E207,"")</f>
        <v/>
      </c>
      <c r="F28" s="134" t="str">
        <f t="shared" si="0"/>
        <v/>
      </c>
      <c r="G28" s="135" t="str">
        <f>IF(ISNUMBER('Lignes commandes'!F207),'Lignes commandes'!F207,"")</f>
        <v/>
      </c>
      <c r="H28" s="136" t="str">
        <f t="shared" si="2"/>
        <v/>
      </c>
      <c r="I28" s="137" t="str">
        <f t="shared" si="1"/>
        <v/>
      </c>
    </row>
    <row r="29" spans="1:9" s="138" customFormat="1" ht="36" customHeight="1">
      <c r="A29" s="139">
        <v>19</v>
      </c>
      <c r="B29" s="274" t="str">
        <f>IF(ISTEXT('Lignes commandes'!B208),'Lignes commandes'!B208,"")</f>
        <v/>
      </c>
      <c r="C29" s="274"/>
      <c r="D29" s="133" t="str">
        <f>IF(ISNUMBER('Lignes commandes'!D208),'Lignes commandes'!D208,"")</f>
        <v/>
      </c>
      <c r="E29" s="134" t="str">
        <f>IF(ISNUMBER('Lignes commandes'!E208),'Lignes commandes'!E208,"")</f>
        <v/>
      </c>
      <c r="F29" s="134" t="str">
        <f t="shared" si="0"/>
        <v/>
      </c>
      <c r="G29" s="135" t="str">
        <f>IF(ISNUMBER('Lignes commandes'!F208),'Lignes commandes'!F208,"")</f>
        <v/>
      </c>
      <c r="H29" s="136" t="str">
        <f t="shared" si="2"/>
        <v/>
      </c>
      <c r="I29" s="137" t="str">
        <f t="shared" si="1"/>
        <v/>
      </c>
    </row>
    <row r="30" spans="1:9" s="138" customFormat="1" ht="36" customHeight="1" thickBot="1">
      <c r="A30" s="140">
        <v>20</v>
      </c>
      <c r="B30" s="274" t="str">
        <f>IF(ISTEXT('Lignes commandes'!B209),'Lignes commandes'!B209,"")</f>
        <v/>
      </c>
      <c r="C30" s="274"/>
      <c r="D30" s="133" t="str">
        <f>IF(ISNUMBER('Lignes commandes'!D209),'Lignes commandes'!D209,"")</f>
        <v/>
      </c>
      <c r="E30" s="134" t="str">
        <f>IF(ISNUMBER('Lignes commandes'!E209),'Lignes commandes'!E209,"")</f>
        <v/>
      </c>
      <c r="F30" s="134" t="str">
        <f t="shared" si="0"/>
        <v/>
      </c>
      <c r="G30" s="135" t="str">
        <f>IF(ISNUMBER('Lignes commandes'!F209),'Lignes commandes'!F209,"")</f>
        <v/>
      </c>
      <c r="H30" s="136" t="str">
        <f t="shared" si="2"/>
        <v/>
      </c>
      <c r="I30" s="137" t="str">
        <f t="shared" si="1"/>
        <v/>
      </c>
    </row>
    <row r="31" spans="1:9" s="144" customFormat="1" ht="36" customHeight="1" thickBot="1">
      <c r="A31" s="277" t="s">
        <v>192</v>
      </c>
      <c r="B31" s="278"/>
      <c r="C31" s="279"/>
      <c r="D31" s="141"/>
      <c r="E31" s="142"/>
      <c r="F31" s="142">
        <f>SUM(F11:F30)</f>
        <v>6500.25</v>
      </c>
      <c r="G31" s="142"/>
      <c r="H31" s="142">
        <f t="shared" ref="H31:I31" si="3">SUM(H11:H30)</f>
        <v>1300.0500016398728</v>
      </c>
      <c r="I31" s="143">
        <f t="shared" si="3"/>
        <v>7800.3000016398728</v>
      </c>
    </row>
    <row r="32" spans="1:9" ht="18.75" customHeight="1"/>
    <row r="33" spans="1:9" ht="18.75" customHeight="1"/>
    <row r="34" spans="1:9" ht="18.75" customHeight="1"/>
    <row r="35" spans="1:9" ht="29.25" customHeight="1"/>
    <row r="36" spans="1:9" ht="33" customHeight="1">
      <c r="A36" s="269" t="s">
        <v>197</v>
      </c>
      <c r="B36" s="269"/>
      <c r="C36" s="269"/>
      <c r="D36" s="269"/>
      <c r="E36" s="269"/>
      <c r="F36" s="269"/>
      <c r="G36" s="269"/>
      <c r="H36" s="269"/>
      <c r="I36" s="269"/>
    </row>
    <row r="37" spans="1:9" ht="18.75" customHeight="1"/>
    <row r="41" spans="1:9">
      <c r="C41" s="117" t="s">
        <v>74</v>
      </c>
      <c r="D41" s="117" t="s">
        <v>210</v>
      </c>
    </row>
    <row r="43" spans="1:9">
      <c r="C43" s="117" t="s">
        <v>55</v>
      </c>
      <c r="D43" s="117"/>
      <c r="E43" s="117"/>
    </row>
    <row r="44" spans="1:9">
      <c r="C44" s="117" t="s">
        <v>195</v>
      </c>
      <c r="D44" s="117" t="s">
        <v>77</v>
      </c>
      <c r="E44" s="117"/>
    </row>
    <row r="45" spans="1:9">
      <c r="C45" s="117" t="s">
        <v>291</v>
      </c>
      <c r="D45" s="145">
        <v>7140</v>
      </c>
      <c r="E45" s="117"/>
    </row>
    <row r="46" spans="1:9">
      <c r="C46" s="117" t="s">
        <v>228</v>
      </c>
      <c r="D46" s="145">
        <v>589.20000146329403</v>
      </c>
      <c r="E46" s="117"/>
    </row>
    <row r="47" spans="1:9">
      <c r="C47" s="117" t="s">
        <v>166</v>
      </c>
      <c r="D47" s="145">
        <v>7729.200001463294</v>
      </c>
      <c r="E47" s="117"/>
    </row>
    <row r="48" spans="1:9">
      <c r="D48" s="117"/>
      <c r="E48" s="117"/>
    </row>
    <row r="49" spans="4:5">
      <c r="D49" s="117"/>
      <c r="E49" s="117"/>
    </row>
    <row r="50" spans="4:5">
      <c r="D50" s="117"/>
      <c r="E50" s="117"/>
    </row>
    <row r="51" spans="4:5">
      <c r="D51" s="117"/>
      <c r="E51" s="117"/>
    </row>
    <row r="52" spans="4:5">
      <c r="D52" s="117"/>
      <c r="E52" s="117"/>
    </row>
    <row r="53" spans="4:5">
      <c r="D53" s="117"/>
      <c r="E53" s="117"/>
    </row>
    <row r="54" spans="4:5">
      <c r="D54" s="117"/>
      <c r="E54" s="117"/>
    </row>
    <row r="55" spans="4:5">
      <c r="D55" s="117"/>
      <c r="E55" s="117"/>
    </row>
    <row r="56" spans="4:5">
      <c r="D56" s="117"/>
      <c r="E56" s="117"/>
    </row>
    <row r="57" spans="4:5">
      <c r="D57" s="117"/>
      <c r="E57" s="117"/>
    </row>
    <row r="58" spans="4:5">
      <c r="D58" s="117"/>
      <c r="E58" s="117"/>
    </row>
    <row r="59" spans="4:5">
      <c r="D59" s="117"/>
      <c r="E59" s="117"/>
    </row>
    <row r="60" spans="4:5">
      <c r="D60" s="117"/>
      <c r="E60" s="117"/>
    </row>
  </sheetData>
  <sheetProtection sheet="1" objects="1" scenarios="1" sort="0" autoFilter="0" pivotTables="0"/>
  <mergeCells count="29">
    <mergeCell ref="B10:C10"/>
    <mergeCell ref="B11:C11"/>
    <mergeCell ref="B12:C12"/>
    <mergeCell ref="B13:C13"/>
    <mergeCell ref="B14:C14"/>
    <mergeCell ref="B25:C25"/>
    <mergeCell ref="B26:C26"/>
    <mergeCell ref="B15:C15"/>
    <mergeCell ref="B16:C16"/>
    <mergeCell ref="B17:C17"/>
    <mergeCell ref="B18:C18"/>
    <mergeCell ref="B19:C19"/>
    <mergeCell ref="B20:C20"/>
    <mergeCell ref="A36:I36"/>
    <mergeCell ref="D6:I6"/>
    <mergeCell ref="D7:I7"/>
    <mergeCell ref="D8:I8"/>
    <mergeCell ref="D3:G3"/>
    <mergeCell ref="H3:I3"/>
    <mergeCell ref="B27:C27"/>
    <mergeCell ref="B28:C28"/>
    <mergeCell ref="B29:C29"/>
    <mergeCell ref="B30:C30"/>
    <mergeCell ref="C8:C9"/>
    <mergeCell ref="A31:C31"/>
    <mergeCell ref="B21:C21"/>
    <mergeCell ref="B22:C22"/>
    <mergeCell ref="B23:C23"/>
    <mergeCell ref="B24:C24"/>
  </mergeCells>
  <dataValidations count="1">
    <dataValidation type="list" allowBlank="1" showInputMessage="1" showErrorMessage="1" sqref="M4 H3:I3">
      <formula1>Liste_Entêtes</formula1>
    </dataValidation>
  </dataValidations>
  <printOptions horizontalCentered="1"/>
  <pageMargins left="0.39370078740157483" right="0.39370078740157483" top="0.39370078740157483" bottom="0.39370078740157483" header="0.39370078740157483" footer="0.39370078740157483"/>
  <pageSetup paperSize="9" scale="71" fitToHeight="0" orientation="portrait" verticalDpi="0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T2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RowHeight="12.75"/>
  <cols>
    <col min="2" max="2" width="13.42578125" style="9" customWidth="1"/>
    <col min="3" max="3" width="16.5703125" style="20" customWidth="1"/>
    <col min="4" max="4" width="23" customWidth="1"/>
    <col min="5" max="5" width="15" customWidth="1"/>
    <col min="6" max="7" width="13.42578125" style="9" customWidth="1"/>
    <col min="8" max="8" width="19.42578125" style="9" customWidth="1"/>
    <col min="9" max="10" width="12.42578125" style="3" customWidth="1"/>
    <col min="11" max="11" width="15.42578125" customWidth="1"/>
    <col min="12" max="12" width="10.28515625" style="52" bestFit="1" customWidth="1"/>
    <col min="13" max="13" width="14.85546875" style="253" customWidth="1"/>
    <col min="14" max="14" width="14.85546875" style="13" customWidth="1"/>
    <col min="15" max="15" width="12.5703125" style="249" customWidth="1"/>
    <col min="16" max="16" width="15.42578125" style="253" customWidth="1"/>
    <col min="17" max="17" width="15.42578125" style="13" customWidth="1"/>
    <col min="18" max="18" width="12.5703125" style="253" customWidth="1"/>
    <col min="19" max="20" width="28.42578125" customWidth="1"/>
  </cols>
  <sheetData>
    <row r="1" spans="1:20" s="76" customFormat="1" ht="51.75" customHeight="1">
      <c r="A1" s="146" t="str">
        <f>Collectivité&amp;" - "&amp;Service&amp;" - Fichier des factures de fluides et énergies"</f>
        <v>Ville d'Excel-les-Bains - Patrimoine bâti - Fichier des factures de fluides et énergies</v>
      </c>
      <c r="B1" s="153"/>
      <c r="C1" s="154"/>
      <c r="D1" s="112"/>
      <c r="E1" s="155"/>
      <c r="F1" s="153"/>
      <c r="G1" s="153"/>
      <c r="H1" s="153"/>
      <c r="I1" s="113"/>
      <c r="J1" s="113"/>
      <c r="K1" s="156">
        <f>SUBTOTAL(9,K3:K27)</f>
        <v>1920</v>
      </c>
      <c r="L1" s="157"/>
      <c r="M1" s="257">
        <f>SUBTOTAL(9,M3:M27)</f>
        <v>944.59999999999991</v>
      </c>
      <c r="N1" s="147"/>
      <c r="O1" s="244">
        <f>SUBTOTAL(9,O3:O27)</f>
        <v>172</v>
      </c>
      <c r="P1" s="244">
        <f>SUBTOTAL(9,P3:P27)</f>
        <v>9949</v>
      </c>
      <c r="Q1" s="147"/>
      <c r="R1" s="244">
        <f>SUBTOTAL(9,R3:R27)</f>
        <v>11791.309999362527</v>
      </c>
      <c r="S1" s="158"/>
      <c r="T1" s="158"/>
    </row>
    <row r="2" spans="1:20" hidden="1">
      <c r="A2" s="57"/>
      <c r="B2" s="51"/>
      <c r="C2" s="57"/>
      <c r="E2" s="57"/>
      <c r="F2" s="51"/>
      <c r="G2" s="51"/>
      <c r="H2" s="51"/>
      <c r="K2" s="20"/>
      <c r="M2" s="258"/>
      <c r="P2" s="258"/>
      <c r="R2" s="258"/>
      <c r="S2" s="20"/>
      <c r="T2" s="20"/>
    </row>
    <row r="3" spans="1:20" ht="47.25" customHeight="1">
      <c r="A3" s="59" t="s">
        <v>178</v>
      </c>
      <c r="B3" s="61" t="s">
        <v>142</v>
      </c>
      <c r="C3" s="59" t="s">
        <v>141</v>
      </c>
      <c r="D3" s="19" t="s">
        <v>84</v>
      </c>
      <c r="E3" s="59" t="s">
        <v>135</v>
      </c>
      <c r="F3" s="61" t="s">
        <v>153</v>
      </c>
      <c r="G3" s="61" t="s">
        <v>154</v>
      </c>
      <c r="H3" s="61" t="s">
        <v>156</v>
      </c>
      <c r="I3" s="4" t="s">
        <v>146</v>
      </c>
      <c r="J3" s="4" t="s">
        <v>147</v>
      </c>
      <c r="K3" s="19" t="s">
        <v>148</v>
      </c>
      <c r="L3" s="4" t="s">
        <v>149</v>
      </c>
      <c r="M3" s="246" t="s">
        <v>143</v>
      </c>
      <c r="N3" s="14" t="s">
        <v>157</v>
      </c>
      <c r="O3" s="246" t="s">
        <v>144</v>
      </c>
      <c r="P3" s="246" t="s">
        <v>145</v>
      </c>
      <c r="Q3" s="14" t="s">
        <v>158</v>
      </c>
      <c r="R3" s="246" t="s">
        <v>155</v>
      </c>
      <c r="S3" s="19" t="s">
        <v>18</v>
      </c>
      <c r="T3" s="19" t="s">
        <v>172</v>
      </c>
    </row>
    <row r="4" spans="1:20" s="36" customFormat="1" ht="25.5" customHeight="1">
      <c r="A4" s="96">
        <v>102</v>
      </c>
      <c r="B4" s="97">
        <v>41671</v>
      </c>
      <c r="C4" s="63" t="str">
        <f t="shared" ref="C4:C26" si="0">IF(ISTEXT(VLOOKUP(A4,Points_Consommation,3,FALSE)),VLOOKUP(A4,Points_Consommation,3,FALSE),"")</f>
        <v>Internet</v>
      </c>
      <c r="D4" s="74" t="str">
        <f t="shared" ref="D4:D26" si="1">IF(ISTEXT(VLOOKUP(A4,Points_Consommation,2,FALSE)),VLOOKUP(A4,Points_Consommation,2,FALSE),"")</f>
        <v>BA001 - Hôtel de ville</v>
      </c>
      <c r="E4" s="63" t="str">
        <f t="shared" ref="E4:E26" si="2">IF(ISTEXT(VLOOKUP(C4,Energies,2,FALSE)),VLOOKUP(C4,Energies,2,FALSE),"")</f>
        <v>Mensuelle</v>
      </c>
      <c r="F4" s="97">
        <v>41640</v>
      </c>
      <c r="G4" s="97">
        <v>41670</v>
      </c>
      <c r="H4" s="197" t="str">
        <f t="shared" ref="H4:H26" si="3">YEAR(F4)&amp;"-"&amp;IF(MONTH(F4)&lt;10,"0","")&amp;MONTH(F4)&amp;" / "&amp;YEAR(G4)&amp;"-"&amp;IF(MONTH(G4)&lt;10,"0","")&amp;MONTH(G4)</f>
        <v>2014-01 / 2014-01</v>
      </c>
      <c r="I4" s="98">
        <v>0</v>
      </c>
      <c r="J4" s="98">
        <v>0</v>
      </c>
      <c r="K4" s="63">
        <f t="shared" ref="K4:K26" si="4">J4-I4</f>
        <v>0</v>
      </c>
      <c r="L4" s="64" t="str">
        <f t="shared" ref="L4:L26" si="5">IF(ISTEXT(VLOOKUP(C4,Energies,3,FALSE)),VLOOKUP(C4,Energies,3,FALSE),"")</f>
        <v/>
      </c>
      <c r="M4" s="259">
        <v>45.8</v>
      </c>
      <c r="N4" s="99">
        <v>0.2</v>
      </c>
      <c r="O4" s="261">
        <v>0</v>
      </c>
      <c r="P4" s="262">
        <v>0</v>
      </c>
      <c r="Q4" s="99">
        <v>0.20000000298023224</v>
      </c>
      <c r="R4" s="263">
        <f t="shared" ref="R4:R26" si="6">M4*(1+N4)+O4+P4*(1+Q4)</f>
        <v>54.959999999999994</v>
      </c>
      <c r="S4" s="100"/>
      <c r="T4" s="77" t="str">
        <f t="shared" ref="T4:T26" si="7">IF(ISTEXT(VLOOKUP(D4,Batiments_Catégories,2,FALSE)),VLOOKUP(D4,Batiments_Catégories,2,FALSE),"")</f>
        <v>Administration</v>
      </c>
    </row>
    <row r="5" spans="1:20" s="36" customFormat="1" ht="25.5" customHeight="1">
      <c r="A5" s="96">
        <v>103</v>
      </c>
      <c r="B5" s="97">
        <v>41641</v>
      </c>
      <c r="C5" s="63" t="str">
        <f t="shared" si="0"/>
        <v>Téléphone</v>
      </c>
      <c r="D5" s="74" t="str">
        <f t="shared" si="1"/>
        <v>BA001 - Hôtel de ville</v>
      </c>
      <c r="E5" s="63" t="str">
        <f t="shared" si="2"/>
        <v>Bi-mensuelle</v>
      </c>
      <c r="F5" s="97">
        <v>41651</v>
      </c>
      <c r="G5" s="97">
        <v>41729</v>
      </c>
      <c r="H5" s="197" t="str">
        <f t="shared" si="3"/>
        <v>2014-01 / 2014-03</v>
      </c>
      <c r="I5" s="98">
        <v>0</v>
      </c>
      <c r="J5" s="98">
        <v>0</v>
      </c>
      <c r="K5" s="63">
        <f t="shared" si="4"/>
        <v>0</v>
      </c>
      <c r="L5" s="64" t="str">
        <f t="shared" si="5"/>
        <v/>
      </c>
      <c r="M5" s="259">
        <v>20</v>
      </c>
      <c r="N5" s="99">
        <v>0.2</v>
      </c>
      <c r="O5" s="261">
        <v>0</v>
      </c>
      <c r="P5" s="262">
        <v>112</v>
      </c>
      <c r="Q5" s="99">
        <v>0</v>
      </c>
      <c r="R5" s="263">
        <f t="shared" si="6"/>
        <v>136</v>
      </c>
      <c r="S5" s="100"/>
      <c r="T5" s="77" t="str">
        <f t="shared" si="7"/>
        <v>Administration</v>
      </c>
    </row>
    <row r="6" spans="1:20" s="36" customFormat="1" ht="25.5" customHeight="1">
      <c r="A6" s="96">
        <v>101</v>
      </c>
      <c r="B6" s="97">
        <v>41671</v>
      </c>
      <c r="C6" s="63" t="str">
        <f t="shared" si="0"/>
        <v>Gaz</v>
      </c>
      <c r="D6" s="74" t="str">
        <f t="shared" si="1"/>
        <v>BA001 - Hôtel de ville</v>
      </c>
      <c r="E6" s="63" t="str">
        <f t="shared" si="2"/>
        <v>Mensuelle</v>
      </c>
      <c r="F6" s="97">
        <v>41640</v>
      </c>
      <c r="G6" s="97">
        <v>41670</v>
      </c>
      <c r="H6" s="197" t="str">
        <f t="shared" si="3"/>
        <v>2014-01 / 2014-01</v>
      </c>
      <c r="I6" s="98">
        <v>2000</v>
      </c>
      <c r="J6" s="98">
        <v>2100</v>
      </c>
      <c r="K6" s="63">
        <f t="shared" si="4"/>
        <v>100</v>
      </c>
      <c r="L6" s="64" t="str">
        <f t="shared" si="5"/>
        <v>m3</v>
      </c>
      <c r="M6" s="259">
        <v>78</v>
      </c>
      <c r="N6" s="99">
        <v>0.2</v>
      </c>
      <c r="O6" s="261">
        <v>2</v>
      </c>
      <c r="P6" s="262">
        <v>452</v>
      </c>
      <c r="Q6" s="99"/>
      <c r="R6" s="263">
        <f t="shared" si="6"/>
        <v>547.6</v>
      </c>
      <c r="S6" s="100"/>
      <c r="T6" s="77" t="str">
        <f t="shared" si="7"/>
        <v>Administration</v>
      </c>
    </row>
    <row r="7" spans="1:20" s="36" customFormat="1" ht="25.5" customHeight="1">
      <c r="A7" s="96">
        <v>100</v>
      </c>
      <c r="B7" s="97">
        <v>41671</v>
      </c>
      <c r="C7" s="63" t="str">
        <f t="shared" si="0"/>
        <v>Electricité</v>
      </c>
      <c r="D7" s="74" t="str">
        <f t="shared" si="1"/>
        <v>BA001 - Hôtel de ville</v>
      </c>
      <c r="E7" s="63" t="str">
        <f t="shared" si="2"/>
        <v>Mensuelle</v>
      </c>
      <c r="F7" s="97">
        <v>41640</v>
      </c>
      <c r="G7" s="97">
        <v>41670</v>
      </c>
      <c r="H7" s="197" t="str">
        <f t="shared" si="3"/>
        <v>2014-01 / 2014-01</v>
      </c>
      <c r="I7" s="98">
        <v>1000</v>
      </c>
      <c r="J7" s="98">
        <v>1100</v>
      </c>
      <c r="K7" s="63">
        <f t="shared" si="4"/>
        <v>100</v>
      </c>
      <c r="L7" s="64" t="str">
        <f t="shared" si="5"/>
        <v>kw/h</v>
      </c>
      <c r="M7" s="259">
        <v>45</v>
      </c>
      <c r="N7" s="99">
        <v>0.2</v>
      </c>
      <c r="O7" s="261">
        <v>5</v>
      </c>
      <c r="P7" s="262">
        <v>782</v>
      </c>
      <c r="Q7" s="99">
        <v>5.4999999701976776E-2</v>
      </c>
      <c r="R7" s="263">
        <f t="shared" si="6"/>
        <v>884.00999976694584</v>
      </c>
      <c r="S7" s="100"/>
      <c r="T7" s="77" t="str">
        <f t="shared" si="7"/>
        <v>Administration</v>
      </c>
    </row>
    <row r="8" spans="1:20" s="36" customFormat="1" ht="25.5" customHeight="1">
      <c r="A8" s="96">
        <v>100</v>
      </c>
      <c r="B8" s="97">
        <v>41642</v>
      </c>
      <c r="C8" s="63" t="str">
        <f t="shared" si="0"/>
        <v>Electricité</v>
      </c>
      <c r="D8" s="74" t="str">
        <f t="shared" si="1"/>
        <v>BA001 - Hôtel de ville</v>
      </c>
      <c r="E8" s="63" t="str">
        <f t="shared" si="2"/>
        <v>Mensuelle</v>
      </c>
      <c r="F8" s="97">
        <v>41641</v>
      </c>
      <c r="G8" s="97">
        <v>41698</v>
      </c>
      <c r="H8" s="197" t="str">
        <f t="shared" si="3"/>
        <v>2014-01 / 2014-02</v>
      </c>
      <c r="I8" s="98">
        <v>1100</v>
      </c>
      <c r="J8" s="98">
        <v>1220</v>
      </c>
      <c r="K8" s="63">
        <f t="shared" si="4"/>
        <v>120</v>
      </c>
      <c r="L8" s="64" t="str">
        <f t="shared" si="5"/>
        <v>kw/h</v>
      </c>
      <c r="M8" s="259">
        <v>45</v>
      </c>
      <c r="N8" s="99">
        <v>0.2</v>
      </c>
      <c r="O8" s="261">
        <v>5</v>
      </c>
      <c r="P8" s="262">
        <v>765</v>
      </c>
      <c r="Q8" s="99">
        <v>5.4999999701976776E-2</v>
      </c>
      <c r="R8" s="263">
        <f t="shared" si="6"/>
        <v>866.07499977201223</v>
      </c>
      <c r="S8" s="100"/>
      <c r="T8" s="77" t="str">
        <f t="shared" si="7"/>
        <v>Administration</v>
      </c>
    </row>
    <row r="9" spans="1:20" s="36" customFormat="1" ht="25.5" customHeight="1">
      <c r="A9" s="96">
        <v>100</v>
      </c>
      <c r="B9" s="97">
        <v>41671</v>
      </c>
      <c r="C9" s="63" t="str">
        <f t="shared" si="0"/>
        <v>Electricité</v>
      </c>
      <c r="D9" s="74" t="str">
        <f t="shared" si="1"/>
        <v>BA001 - Hôtel de ville</v>
      </c>
      <c r="E9" s="63" t="str">
        <f t="shared" si="2"/>
        <v>Mensuelle</v>
      </c>
      <c r="F9" s="97">
        <v>41699</v>
      </c>
      <c r="G9" s="97">
        <v>41729</v>
      </c>
      <c r="H9" s="197" t="str">
        <f t="shared" si="3"/>
        <v>2014-03 / 2014-03</v>
      </c>
      <c r="I9" s="98">
        <v>1100</v>
      </c>
      <c r="J9" s="98">
        <v>1250</v>
      </c>
      <c r="K9" s="63">
        <f t="shared" si="4"/>
        <v>150</v>
      </c>
      <c r="L9" s="64" t="str">
        <f t="shared" si="5"/>
        <v>kw/h</v>
      </c>
      <c r="M9" s="259">
        <v>45</v>
      </c>
      <c r="N9" s="99">
        <v>0.2</v>
      </c>
      <c r="O9" s="261">
        <v>5</v>
      </c>
      <c r="P9" s="262">
        <v>656</v>
      </c>
      <c r="Q9" s="99">
        <v>5.5E-2</v>
      </c>
      <c r="R9" s="263">
        <f t="shared" si="6"/>
        <v>751.07999999999993</v>
      </c>
      <c r="S9" s="100"/>
      <c r="T9" s="77" t="str">
        <f t="shared" si="7"/>
        <v>Administration</v>
      </c>
    </row>
    <row r="10" spans="1:20" s="36" customFormat="1" ht="25.5" customHeight="1">
      <c r="A10" s="96">
        <v>100</v>
      </c>
      <c r="B10" s="97">
        <v>41671</v>
      </c>
      <c r="C10" s="63" t="str">
        <f t="shared" si="0"/>
        <v>Electricité</v>
      </c>
      <c r="D10" s="74" t="str">
        <f t="shared" si="1"/>
        <v>BA001 - Hôtel de ville</v>
      </c>
      <c r="E10" s="63" t="str">
        <f t="shared" si="2"/>
        <v>Mensuelle</v>
      </c>
      <c r="F10" s="97">
        <v>41730</v>
      </c>
      <c r="G10" s="97">
        <v>41759</v>
      </c>
      <c r="H10" s="197" t="str">
        <f t="shared" si="3"/>
        <v>2014-04 / 2014-04</v>
      </c>
      <c r="I10" s="98">
        <v>1380</v>
      </c>
      <c r="J10" s="98">
        <v>1500</v>
      </c>
      <c r="K10" s="63">
        <f t="shared" si="4"/>
        <v>120</v>
      </c>
      <c r="L10" s="64" t="str">
        <f t="shared" si="5"/>
        <v>kw/h</v>
      </c>
      <c r="M10" s="259">
        <v>45</v>
      </c>
      <c r="N10" s="99">
        <v>0.2</v>
      </c>
      <c r="O10" s="261">
        <v>5</v>
      </c>
      <c r="P10" s="262">
        <v>592</v>
      </c>
      <c r="Q10" s="99">
        <v>5.4999999701976776E-2</v>
      </c>
      <c r="R10" s="263">
        <f t="shared" si="6"/>
        <v>683.55999982357025</v>
      </c>
      <c r="S10" s="100"/>
      <c r="T10" s="77" t="str">
        <f t="shared" si="7"/>
        <v>Administration</v>
      </c>
    </row>
    <row r="11" spans="1:20" s="36" customFormat="1" ht="25.5" customHeight="1">
      <c r="A11" s="96">
        <v>100</v>
      </c>
      <c r="B11" s="97">
        <v>41671</v>
      </c>
      <c r="C11" s="63" t="str">
        <f t="shared" si="0"/>
        <v>Electricité</v>
      </c>
      <c r="D11" s="74" t="str">
        <f t="shared" si="1"/>
        <v>BA001 - Hôtel de ville</v>
      </c>
      <c r="E11" s="63" t="str">
        <f t="shared" si="2"/>
        <v>Mensuelle</v>
      </c>
      <c r="F11" s="97">
        <v>41760</v>
      </c>
      <c r="G11" s="97">
        <v>41790</v>
      </c>
      <c r="H11" s="197" t="str">
        <f t="shared" si="3"/>
        <v>2014-05 / 2014-05</v>
      </c>
      <c r="I11" s="98">
        <v>1250</v>
      </c>
      <c r="J11" s="98">
        <v>1380</v>
      </c>
      <c r="K11" s="63">
        <f t="shared" si="4"/>
        <v>130</v>
      </c>
      <c r="L11" s="64" t="str">
        <f t="shared" si="5"/>
        <v>kw/h</v>
      </c>
      <c r="M11" s="259">
        <v>45</v>
      </c>
      <c r="N11" s="99">
        <v>0.2</v>
      </c>
      <c r="O11" s="261">
        <v>5</v>
      </c>
      <c r="P11" s="262">
        <v>421</v>
      </c>
      <c r="Q11" s="99">
        <v>5.5E-2</v>
      </c>
      <c r="R11" s="263">
        <f t="shared" si="6"/>
        <v>503.15499999999997</v>
      </c>
      <c r="S11" s="100"/>
      <c r="T11" s="77" t="str">
        <f t="shared" si="7"/>
        <v>Administration</v>
      </c>
    </row>
    <row r="12" spans="1:20" s="36" customFormat="1" ht="25.5" customHeight="1">
      <c r="A12" s="96">
        <v>104</v>
      </c>
      <c r="B12" s="97">
        <v>41671</v>
      </c>
      <c r="C12" s="63" t="str">
        <f t="shared" si="0"/>
        <v>Electricité</v>
      </c>
      <c r="D12" s="74" t="str">
        <f t="shared" si="1"/>
        <v>BA002 - Groupe scolaire des Myosotis</v>
      </c>
      <c r="E12" s="63" t="str">
        <f t="shared" si="2"/>
        <v>Mensuelle</v>
      </c>
      <c r="F12" s="97">
        <v>41640</v>
      </c>
      <c r="G12" s="97">
        <v>41670</v>
      </c>
      <c r="H12" s="197" t="str">
        <f t="shared" si="3"/>
        <v>2014-01 / 2014-01</v>
      </c>
      <c r="I12" s="98">
        <v>5000</v>
      </c>
      <c r="J12" s="98">
        <v>5100</v>
      </c>
      <c r="K12" s="63">
        <f t="shared" si="4"/>
        <v>100</v>
      </c>
      <c r="L12" s="64" t="str">
        <f t="shared" si="5"/>
        <v>kw/h</v>
      </c>
      <c r="M12" s="259">
        <v>45</v>
      </c>
      <c r="N12" s="99">
        <v>0.2</v>
      </c>
      <c r="O12" s="261">
        <v>5</v>
      </c>
      <c r="P12" s="262">
        <v>656</v>
      </c>
      <c r="Q12" s="99">
        <v>5.5E-2</v>
      </c>
      <c r="R12" s="263">
        <f t="shared" si="6"/>
        <v>751.07999999999993</v>
      </c>
      <c r="S12" s="100"/>
      <c r="T12" s="77" t="str">
        <f t="shared" si="7"/>
        <v>Enseignement</v>
      </c>
    </row>
    <row r="13" spans="1:20" s="36" customFormat="1" ht="25.5" customHeight="1">
      <c r="A13" s="96">
        <v>104</v>
      </c>
      <c r="B13" s="97">
        <v>41671</v>
      </c>
      <c r="C13" s="63" t="str">
        <f t="shared" si="0"/>
        <v>Electricité</v>
      </c>
      <c r="D13" s="74" t="str">
        <f t="shared" si="1"/>
        <v>BA002 - Groupe scolaire des Myosotis</v>
      </c>
      <c r="E13" s="63" t="str">
        <f t="shared" si="2"/>
        <v>Mensuelle</v>
      </c>
      <c r="F13" s="97">
        <v>41671</v>
      </c>
      <c r="G13" s="97">
        <v>41698</v>
      </c>
      <c r="H13" s="197" t="str">
        <f t="shared" si="3"/>
        <v>2014-02 / 2014-02</v>
      </c>
      <c r="I13" s="98">
        <v>5100</v>
      </c>
      <c r="J13" s="98">
        <v>5250</v>
      </c>
      <c r="K13" s="63">
        <f t="shared" si="4"/>
        <v>150</v>
      </c>
      <c r="L13" s="64" t="str">
        <f t="shared" si="5"/>
        <v>kw/h</v>
      </c>
      <c r="M13" s="259">
        <v>45</v>
      </c>
      <c r="N13" s="99">
        <v>0.2</v>
      </c>
      <c r="O13" s="261">
        <v>5</v>
      </c>
      <c r="P13" s="262">
        <v>656</v>
      </c>
      <c r="Q13" s="99">
        <v>5.5E-2</v>
      </c>
      <c r="R13" s="263">
        <f t="shared" si="6"/>
        <v>751.07999999999993</v>
      </c>
      <c r="S13" s="100"/>
      <c r="T13" s="77" t="str">
        <f t="shared" si="7"/>
        <v>Enseignement</v>
      </c>
    </row>
    <row r="14" spans="1:20" s="36" customFormat="1" ht="25.5" customHeight="1">
      <c r="A14" s="96">
        <v>104</v>
      </c>
      <c r="B14" s="97">
        <v>41671</v>
      </c>
      <c r="C14" s="63" t="str">
        <f t="shared" si="0"/>
        <v>Electricité</v>
      </c>
      <c r="D14" s="74" t="str">
        <f t="shared" si="1"/>
        <v>BA002 - Groupe scolaire des Myosotis</v>
      </c>
      <c r="E14" s="63" t="str">
        <f t="shared" si="2"/>
        <v>Mensuelle</v>
      </c>
      <c r="F14" s="97">
        <v>41699</v>
      </c>
      <c r="G14" s="97">
        <v>41729</v>
      </c>
      <c r="H14" s="197" t="str">
        <f t="shared" si="3"/>
        <v>2014-03 / 2014-03</v>
      </c>
      <c r="I14" s="98">
        <v>5250</v>
      </c>
      <c r="J14" s="98">
        <v>5380</v>
      </c>
      <c r="K14" s="63">
        <f t="shared" si="4"/>
        <v>130</v>
      </c>
      <c r="L14" s="64" t="str">
        <f t="shared" si="5"/>
        <v>kw/h</v>
      </c>
      <c r="M14" s="259">
        <v>45</v>
      </c>
      <c r="N14" s="99">
        <v>0.2</v>
      </c>
      <c r="O14" s="261">
        <v>5</v>
      </c>
      <c r="P14" s="262">
        <v>656</v>
      </c>
      <c r="Q14" s="99">
        <v>5.5E-2</v>
      </c>
      <c r="R14" s="263">
        <f t="shared" si="6"/>
        <v>751.07999999999993</v>
      </c>
      <c r="S14" s="100"/>
      <c r="T14" s="77" t="str">
        <f t="shared" si="7"/>
        <v>Enseignement</v>
      </c>
    </row>
    <row r="15" spans="1:20" s="36" customFormat="1" ht="25.5" customHeight="1">
      <c r="A15" s="96">
        <v>104</v>
      </c>
      <c r="B15" s="97">
        <v>41671</v>
      </c>
      <c r="C15" s="63" t="str">
        <f t="shared" si="0"/>
        <v>Electricité</v>
      </c>
      <c r="D15" s="74" t="str">
        <f t="shared" si="1"/>
        <v>BA002 - Groupe scolaire des Myosotis</v>
      </c>
      <c r="E15" s="63" t="str">
        <f t="shared" si="2"/>
        <v>Mensuelle</v>
      </c>
      <c r="F15" s="97">
        <v>41730</v>
      </c>
      <c r="G15" s="97">
        <v>41759</v>
      </c>
      <c r="H15" s="197" t="str">
        <f t="shared" si="3"/>
        <v>2014-04 / 2014-04</v>
      </c>
      <c r="I15" s="98">
        <v>5380</v>
      </c>
      <c r="J15" s="98">
        <v>5450</v>
      </c>
      <c r="K15" s="63">
        <f t="shared" si="4"/>
        <v>70</v>
      </c>
      <c r="L15" s="64" t="str">
        <f t="shared" si="5"/>
        <v>kw/h</v>
      </c>
      <c r="M15" s="259">
        <v>45</v>
      </c>
      <c r="N15" s="99">
        <v>0.2</v>
      </c>
      <c r="O15" s="261">
        <v>5</v>
      </c>
      <c r="P15" s="262">
        <v>656</v>
      </c>
      <c r="Q15" s="99">
        <v>5.5E-2</v>
      </c>
      <c r="R15" s="263">
        <f t="shared" si="6"/>
        <v>751.07999999999993</v>
      </c>
      <c r="S15" s="100"/>
      <c r="T15" s="77" t="str">
        <f t="shared" si="7"/>
        <v>Enseignement</v>
      </c>
    </row>
    <row r="16" spans="1:20" s="36" customFormat="1" ht="25.5" customHeight="1">
      <c r="A16" s="96">
        <v>109</v>
      </c>
      <c r="B16" s="97">
        <v>41671</v>
      </c>
      <c r="C16" s="63" t="str">
        <f t="shared" si="0"/>
        <v>Electricité</v>
      </c>
      <c r="D16" s="74" t="str">
        <f t="shared" si="1"/>
        <v>BA003 - Groupe scolaire des Cerisiers</v>
      </c>
      <c r="E16" s="63" t="str">
        <f t="shared" si="2"/>
        <v>Mensuelle</v>
      </c>
      <c r="F16" s="97">
        <v>41640</v>
      </c>
      <c r="G16" s="97">
        <v>41670</v>
      </c>
      <c r="H16" s="197" t="str">
        <f t="shared" si="3"/>
        <v>2014-01 / 2014-01</v>
      </c>
      <c r="I16" s="98">
        <v>10000</v>
      </c>
      <c r="J16" s="98">
        <v>10100</v>
      </c>
      <c r="K16" s="63">
        <f t="shared" si="4"/>
        <v>100</v>
      </c>
      <c r="L16" s="64" t="str">
        <f t="shared" si="5"/>
        <v>kw/h</v>
      </c>
      <c r="M16" s="259">
        <v>45</v>
      </c>
      <c r="N16" s="99">
        <v>0.2</v>
      </c>
      <c r="O16" s="261">
        <v>5</v>
      </c>
      <c r="P16" s="262">
        <v>483</v>
      </c>
      <c r="Q16" s="99">
        <v>5.5E-2</v>
      </c>
      <c r="R16" s="263">
        <f t="shared" si="6"/>
        <v>568.56500000000005</v>
      </c>
      <c r="S16" s="100"/>
      <c r="T16" s="77" t="str">
        <f t="shared" si="7"/>
        <v>Enseignement</v>
      </c>
    </row>
    <row r="17" spans="1:20" s="36" customFormat="1" ht="25.5" customHeight="1">
      <c r="A17" s="96">
        <v>109</v>
      </c>
      <c r="B17" s="97">
        <v>41671</v>
      </c>
      <c r="C17" s="63" t="str">
        <f t="shared" si="0"/>
        <v>Electricité</v>
      </c>
      <c r="D17" s="74" t="str">
        <f t="shared" si="1"/>
        <v>BA003 - Groupe scolaire des Cerisiers</v>
      </c>
      <c r="E17" s="63" t="str">
        <f t="shared" si="2"/>
        <v>Mensuelle</v>
      </c>
      <c r="F17" s="97">
        <v>41671</v>
      </c>
      <c r="G17" s="97">
        <v>41698</v>
      </c>
      <c r="H17" s="197" t="str">
        <f t="shared" si="3"/>
        <v>2014-02 / 2014-02</v>
      </c>
      <c r="I17" s="98">
        <v>10100</v>
      </c>
      <c r="J17" s="98">
        <v>10200</v>
      </c>
      <c r="K17" s="63">
        <f t="shared" si="4"/>
        <v>100</v>
      </c>
      <c r="L17" s="64" t="str">
        <f t="shared" si="5"/>
        <v>kw/h</v>
      </c>
      <c r="M17" s="259">
        <v>45</v>
      </c>
      <c r="N17" s="99">
        <v>0.2</v>
      </c>
      <c r="O17" s="261">
        <v>5</v>
      </c>
      <c r="P17" s="262">
        <v>656</v>
      </c>
      <c r="Q17" s="99">
        <v>5.5E-2</v>
      </c>
      <c r="R17" s="263">
        <f t="shared" si="6"/>
        <v>751.07999999999993</v>
      </c>
      <c r="S17" s="100"/>
      <c r="T17" s="77" t="str">
        <f t="shared" si="7"/>
        <v>Enseignement</v>
      </c>
    </row>
    <row r="18" spans="1:20" s="36" customFormat="1" ht="25.5" customHeight="1">
      <c r="A18" s="96">
        <v>109</v>
      </c>
      <c r="B18" s="97">
        <v>41671</v>
      </c>
      <c r="C18" s="63" t="str">
        <f t="shared" si="0"/>
        <v>Electricité</v>
      </c>
      <c r="D18" s="74" t="str">
        <f t="shared" si="1"/>
        <v>BA003 - Groupe scolaire des Cerisiers</v>
      </c>
      <c r="E18" s="63" t="str">
        <f t="shared" si="2"/>
        <v>Mensuelle</v>
      </c>
      <c r="F18" s="97">
        <v>41699</v>
      </c>
      <c r="G18" s="97">
        <v>41729</v>
      </c>
      <c r="H18" s="197" t="str">
        <f t="shared" si="3"/>
        <v>2014-03 / 2014-03</v>
      </c>
      <c r="I18" s="98">
        <v>10200</v>
      </c>
      <c r="J18" s="98">
        <v>10330</v>
      </c>
      <c r="K18" s="63">
        <f t="shared" si="4"/>
        <v>130</v>
      </c>
      <c r="L18" s="64" t="str">
        <f t="shared" si="5"/>
        <v>kw/h</v>
      </c>
      <c r="M18" s="259">
        <v>45</v>
      </c>
      <c r="N18" s="99">
        <v>0.2</v>
      </c>
      <c r="O18" s="261">
        <v>5</v>
      </c>
      <c r="P18" s="262">
        <v>656</v>
      </c>
      <c r="Q18" s="99">
        <v>5.5E-2</v>
      </c>
      <c r="R18" s="263">
        <f t="shared" si="6"/>
        <v>751.07999999999993</v>
      </c>
      <c r="S18" s="100"/>
      <c r="T18" s="77" t="str">
        <f t="shared" si="7"/>
        <v>Enseignement</v>
      </c>
    </row>
    <row r="19" spans="1:20" s="36" customFormat="1" ht="25.5" customHeight="1">
      <c r="A19" s="96">
        <v>109</v>
      </c>
      <c r="B19" s="97">
        <v>41671</v>
      </c>
      <c r="C19" s="63" t="str">
        <f t="shared" si="0"/>
        <v>Electricité</v>
      </c>
      <c r="D19" s="74" t="str">
        <f t="shared" si="1"/>
        <v>BA003 - Groupe scolaire des Cerisiers</v>
      </c>
      <c r="E19" s="63" t="str">
        <f t="shared" si="2"/>
        <v>Mensuelle</v>
      </c>
      <c r="F19" s="97">
        <v>41730</v>
      </c>
      <c r="G19" s="97">
        <v>41759</v>
      </c>
      <c r="H19" s="197" t="str">
        <f t="shared" si="3"/>
        <v>2014-04 / 2014-04</v>
      </c>
      <c r="I19" s="98">
        <v>10330</v>
      </c>
      <c r="J19" s="98">
        <v>10450</v>
      </c>
      <c r="K19" s="63">
        <f t="shared" si="4"/>
        <v>120</v>
      </c>
      <c r="L19" s="64" t="str">
        <f t="shared" si="5"/>
        <v>kw/h</v>
      </c>
      <c r="M19" s="259">
        <v>45</v>
      </c>
      <c r="N19" s="99">
        <v>0.2</v>
      </c>
      <c r="O19" s="261">
        <v>5</v>
      </c>
      <c r="P19" s="262">
        <v>656</v>
      </c>
      <c r="Q19" s="99">
        <v>5.5E-2</v>
      </c>
      <c r="R19" s="263">
        <f t="shared" si="6"/>
        <v>751.07999999999993</v>
      </c>
      <c r="S19" s="100"/>
      <c r="T19" s="77" t="str">
        <f t="shared" si="7"/>
        <v>Enseignement</v>
      </c>
    </row>
    <row r="20" spans="1:20" s="36" customFormat="1" ht="25.5" customHeight="1">
      <c r="A20" s="96">
        <v>106</v>
      </c>
      <c r="B20" s="97">
        <v>41671</v>
      </c>
      <c r="C20" s="63" t="str">
        <f t="shared" si="0"/>
        <v>Gaz</v>
      </c>
      <c r="D20" s="74" t="str">
        <f t="shared" si="1"/>
        <v>BA002 - Groupe scolaire des Myosotis</v>
      </c>
      <c r="E20" s="63" t="str">
        <f t="shared" si="2"/>
        <v>Mensuelle</v>
      </c>
      <c r="F20" s="97">
        <v>41640</v>
      </c>
      <c r="G20" s="97">
        <v>41670</v>
      </c>
      <c r="H20" s="197" t="str">
        <f t="shared" si="3"/>
        <v>2014-01 / 2014-01</v>
      </c>
      <c r="I20" s="98">
        <v>7000</v>
      </c>
      <c r="J20" s="98">
        <v>7100</v>
      </c>
      <c r="K20" s="63">
        <f t="shared" si="4"/>
        <v>100</v>
      </c>
      <c r="L20" s="64" t="str">
        <f t="shared" si="5"/>
        <v>m3</v>
      </c>
      <c r="M20" s="259">
        <v>78</v>
      </c>
      <c r="N20" s="99">
        <v>0.2</v>
      </c>
      <c r="O20" s="261">
        <v>22</v>
      </c>
      <c r="P20" s="262">
        <v>652</v>
      </c>
      <c r="Q20" s="99">
        <v>5.5E-2</v>
      </c>
      <c r="R20" s="263">
        <f t="shared" si="6"/>
        <v>803.46</v>
      </c>
      <c r="S20" s="100"/>
      <c r="T20" s="77" t="str">
        <f t="shared" si="7"/>
        <v>Enseignement</v>
      </c>
    </row>
    <row r="21" spans="1:20" s="36" customFormat="1" ht="25.5" customHeight="1">
      <c r="A21" s="96">
        <v>107</v>
      </c>
      <c r="B21" s="97">
        <v>41671</v>
      </c>
      <c r="C21" s="63" t="str">
        <f t="shared" si="0"/>
        <v>Eau</v>
      </c>
      <c r="D21" s="74" t="str">
        <f t="shared" si="1"/>
        <v>BA002 - Groupe scolaire des Myosotis</v>
      </c>
      <c r="E21" s="63" t="str">
        <f t="shared" si="2"/>
        <v>Semestrielle</v>
      </c>
      <c r="F21" s="97">
        <v>41487</v>
      </c>
      <c r="G21" s="97">
        <v>41670</v>
      </c>
      <c r="H21" s="197" t="str">
        <f t="shared" si="3"/>
        <v>2013-08 / 2014-01</v>
      </c>
      <c r="I21" s="98">
        <v>8000</v>
      </c>
      <c r="J21" s="98">
        <v>8100</v>
      </c>
      <c r="K21" s="63">
        <f t="shared" si="4"/>
        <v>100</v>
      </c>
      <c r="L21" s="64" t="str">
        <f t="shared" si="5"/>
        <v>m3</v>
      </c>
      <c r="M21" s="259">
        <v>22</v>
      </c>
      <c r="N21" s="99">
        <v>0.2</v>
      </c>
      <c r="O21" s="261">
        <v>83</v>
      </c>
      <c r="P21" s="262">
        <v>152</v>
      </c>
      <c r="Q21" s="99">
        <v>5.5E-2</v>
      </c>
      <c r="R21" s="263">
        <f t="shared" si="6"/>
        <v>269.76</v>
      </c>
      <c r="S21" s="100"/>
      <c r="T21" s="77" t="str">
        <f t="shared" si="7"/>
        <v>Enseignement</v>
      </c>
    </row>
    <row r="22" spans="1:20" s="36" customFormat="1" ht="25.5" customHeight="1">
      <c r="A22" s="96">
        <v>105</v>
      </c>
      <c r="B22" s="97">
        <v>41671</v>
      </c>
      <c r="C22" s="63" t="str">
        <f t="shared" si="0"/>
        <v>Internet</v>
      </c>
      <c r="D22" s="74" t="str">
        <f t="shared" si="1"/>
        <v>BA002 - Groupe scolaire des Myosotis</v>
      </c>
      <c r="E22" s="63" t="str">
        <f t="shared" si="2"/>
        <v>Mensuelle</v>
      </c>
      <c r="F22" s="97">
        <v>41640</v>
      </c>
      <c r="G22" s="97">
        <v>41670</v>
      </c>
      <c r="H22" s="197" t="str">
        <f t="shared" si="3"/>
        <v>2014-01 / 2014-01</v>
      </c>
      <c r="I22" s="98"/>
      <c r="J22" s="98"/>
      <c r="K22" s="63">
        <f t="shared" si="4"/>
        <v>0</v>
      </c>
      <c r="L22" s="64" t="str">
        <f t="shared" si="5"/>
        <v/>
      </c>
      <c r="M22" s="259">
        <v>39.9</v>
      </c>
      <c r="N22" s="99">
        <v>0.2</v>
      </c>
      <c r="O22" s="261"/>
      <c r="P22" s="262"/>
      <c r="Q22" s="99"/>
      <c r="R22" s="263">
        <f t="shared" si="6"/>
        <v>47.879999999999995</v>
      </c>
      <c r="S22" s="100"/>
      <c r="T22" s="77" t="str">
        <f t="shared" si="7"/>
        <v>Enseignement</v>
      </c>
    </row>
    <row r="23" spans="1:20" s="36" customFormat="1" ht="25.5" customHeight="1">
      <c r="A23" s="96">
        <v>108</v>
      </c>
      <c r="B23" s="97">
        <v>41671</v>
      </c>
      <c r="C23" s="63" t="str">
        <f t="shared" si="0"/>
        <v>Téléphone</v>
      </c>
      <c r="D23" s="74" t="str">
        <f t="shared" si="1"/>
        <v>BA002 - Groupe scolaire des Myosotis</v>
      </c>
      <c r="E23" s="63" t="str">
        <f t="shared" si="2"/>
        <v>Bi-mensuelle</v>
      </c>
      <c r="F23" s="97">
        <v>41609</v>
      </c>
      <c r="G23" s="97">
        <v>41670</v>
      </c>
      <c r="H23" s="197" t="str">
        <f t="shared" si="3"/>
        <v>2013-12 / 2014-01</v>
      </c>
      <c r="I23" s="98"/>
      <c r="J23" s="98"/>
      <c r="K23" s="63">
        <f t="shared" si="4"/>
        <v>0</v>
      </c>
      <c r="L23" s="64" t="str">
        <f t="shared" si="5"/>
        <v/>
      </c>
      <c r="M23" s="259">
        <v>18</v>
      </c>
      <c r="N23" s="99">
        <v>0.2</v>
      </c>
      <c r="O23" s="261"/>
      <c r="P23" s="262">
        <v>85</v>
      </c>
      <c r="Q23" s="99">
        <v>0.2</v>
      </c>
      <c r="R23" s="263">
        <f t="shared" si="6"/>
        <v>123.6</v>
      </c>
      <c r="S23" s="100"/>
      <c r="T23" s="77" t="str">
        <f t="shared" si="7"/>
        <v>Enseignement</v>
      </c>
    </row>
    <row r="24" spans="1:20" s="36" customFormat="1" ht="25.5" customHeight="1">
      <c r="A24" s="96">
        <v>110</v>
      </c>
      <c r="B24" s="97">
        <v>41671</v>
      </c>
      <c r="C24" s="63" t="str">
        <f t="shared" si="0"/>
        <v>Fuel</v>
      </c>
      <c r="D24" s="74" t="str">
        <f t="shared" si="1"/>
        <v>BA003 - Groupe scolaire des Cerisiers</v>
      </c>
      <c r="E24" s="63" t="str">
        <f t="shared" si="2"/>
        <v>Mensuelle</v>
      </c>
      <c r="F24" s="97">
        <v>41640</v>
      </c>
      <c r="G24" s="97">
        <v>41670</v>
      </c>
      <c r="H24" s="197" t="str">
        <f t="shared" si="3"/>
        <v>2014-01 / 2014-01</v>
      </c>
      <c r="I24" s="98">
        <v>11000</v>
      </c>
      <c r="J24" s="98">
        <v>11100</v>
      </c>
      <c r="K24" s="63">
        <f t="shared" si="4"/>
        <v>100</v>
      </c>
      <c r="L24" s="64" t="str">
        <f t="shared" si="5"/>
        <v>litres</v>
      </c>
      <c r="M24" s="259"/>
      <c r="N24" s="99">
        <v>0.2</v>
      </c>
      <c r="O24" s="261"/>
      <c r="P24" s="262">
        <v>123</v>
      </c>
      <c r="Q24" s="99">
        <v>5.5E-2</v>
      </c>
      <c r="R24" s="263">
        <f t="shared" si="6"/>
        <v>129.76499999999999</v>
      </c>
      <c r="S24" s="100"/>
      <c r="T24" s="77" t="str">
        <f t="shared" si="7"/>
        <v>Enseignement</v>
      </c>
    </row>
    <row r="25" spans="1:20" s="36" customFormat="1" ht="25.5" customHeight="1">
      <c r="A25" s="96">
        <v>111</v>
      </c>
      <c r="B25" s="97">
        <v>41671</v>
      </c>
      <c r="C25" s="63" t="str">
        <f t="shared" si="0"/>
        <v>Internet</v>
      </c>
      <c r="D25" s="74" t="str">
        <f t="shared" si="1"/>
        <v>BA003 - Groupe scolaire des Cerisiers</v>
      </c>
      <c r="E25" s="63" t="str">
        <f t="shared" si="2"/>
        <v>Mensuelle</v>
      </c>
      <c r="F25" s="97">
        <v>41640</v>
      </c>
      <c r="G25" s="97">
        <v>41670</v>
      </c>
      <c r="H25" s="197" t="str">
        <f t="shared" si="3"/>
        <v>2014-01 / 2014-01</v>
      </c>
      <c r="I25" s="98"/>
      <c r="J25" s="98"/>
      <c r="K25" s="63">
        <f t="shared" si="4"/>
        <v>0</v>
      </c>
      <c r="L25" s="64" t="str">
        <f t="shared" si="5"/>
        <v/>
      </c>
      <c r="M25" s="259">
        <v>39.9</v>
      </c>
      <c r="N25" s="99">
        <v>0.2</v>
      </c>
      <c r="O25" s="261"/>
      <c r="P25" s="262"/>
      <c r="Q25" s="99"/>
      <c r="R25" s="263">
        <f t="shared" si="6"/>
        <v>47.879999999999995</v>
      </c>
      <c r="S25" s="100"/>
      <c r="T25" s="77" t="str">
        <f t="shared" si="7"/>
        <v>Enseignement</v>
      </c>
    </row>
    <row r="26" spans="1:20" s="36" customFormat="1" ht="25.5" customHeight="1">
      <c r="A26" s="96">
        <v>112</v>
      </c>
      <c r="B26" s="97">
        <v>41671</v>
      </c>
      <c r="C26" s="63" t="str">
        <f t="shared" si="0"/>
        <v>Téléphone</v>
      </c>
      <c r="D26" s="74" t="str">
        <f t="shared" si="1"/>
        <v>BA003 - Groupe scolaire des Cerisiers</v>
      </c>
      <c r="E26" s="63" t="str">
        <f t="shared" si="2"/>
        <v>Bi-mensuelle</v>
      </c>
      <c r="F26" s="97">
        <v>41609</v>
      </c>
      <c r="G26" s="97">
        <v>41670</v>
      </c>
      <c r="H26" s="197" t="str">
        <f t="shared" si="3"/>
        <v>2013-12 / 2014-01</v>
      </c>
      <c r="I26" s="98"/>
      <c r="J26" s="98"/>
      <c r="K26" s="63">
        <f t="shared" si="4"/>
        <v>0</v>
      </c>
      <c r="L26" s="64" t="str">
        <f t="shared" si="5"/>
        <v/>
      </c>
      <c r="M26" s="259">
        <v>18</v>
      </c>
      <c r="N26" s="99"/>
      <c r="O26" s="261"/>
      <c r="P26" s="262">
        <v>82</v>
      </c>
      <c r="Q26" s="99">
        <v>0.2</v>
      </c>
      <c r="R26" s="263">
        <f t="shared" si="6"/>
        <v>116.39999999999999</v>
      </c>
      <c r="S26" s="100"/>
      <c r="T26" s="77" t="str">
        <f t="shared" si="7"/>
        <v>Enseignement</v>
      </c>
    </row>
    <row r="27" spans="1:20">
      <c r="A27" s="60"/>
      <c r="B27" s="62"/>
      <c r="C27" s="60"/>
      <c r="D27" s="7"/>
      <c r="E27" s="60"/>
      <c r="F27" s="62"/>
      <c r="G27" s="62"/>
      <c r="H27" s="62"/>
      <c r="I27" s="8"/>
      <c r="J27" s="8"/>
      <c r="K27" s="21"/>
      <c r="L27" s="65"/>
      <c r="M27" s="260"/>
      <c r="N27" s="15"/>
      <c r="O27" s="248"/>
      <c r="P27" s="260"/>
      <c r="Q27" s="15"/>
      <c r="R27" s="260"/>
      <c r="S27" s="21"/>
      <c r="T27" s="21"/>
    </row>
  </sheetData>
  <sheetProtection selectLockedCells="1" sort="0" autoFilter="0" pivotTables="0"/>
  <autoFilter ref="A3:T26">
    <filterColumn colId="4"/>
    <filterColumn colId="7"/>
    <filterColumn colId="13"/>
    <filterColumn colId="16"/>
    <filterColumn colId="17"/>
    <filterColumn colId="18"/>
  </autoFilter>
  <sortState ref="A4:T26">
    <sortCondition ref="O9"/>
  </sortState>
  <conditionalFormatting sqref="A4:A26">
    <cfRule type="expression" dxfId="15" priority="4">
      <formula>OR(AND(ISERROR(VLOOKUP(A4,Liste_Compteurs,1,FALSE)),LEN(A4)&gt;0),A4="Compteur")</formula>
    </cfRule>
  </conditionalFormatting>
  <dataValidations count="1">
    <dataValidation type="list" allowBlank="1" showInputMessage="1" showErrorMessage="1" sqref="A4:A26">
      <formula1>Liste_Compteurs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scale="46" fitToHeight="0" orientation="landscape" verticalDpi="0" r:id="rId1"/>
  <headerFooter>
    <oddFooter>&amp;CPage &amp;P sur &amp;N -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H8"/>
  <sheetViews>
    <sheetView workbookViewId="0">
      <pane ySplit="3" topLeftCell="A4" activePane="bottomLeft" state="frozen"/>
      <selection activeCell="B3" sqref="B3"/>
      <selection pane="bottomLeft" activeCell="B7" sqref="B7"/>
    </sheetView>
  </sheetViews>
  <sheetFormatPr baseColWidth="10" defaultRowHeight="12.75"/>
  <cols>
    <col min="2" max="2" width="58.7109375" customWidth="1"/>
    <col min="3" max="3" width="44" customWidth="1"/>
    <col min="4" max="4" width="14.7109375" style="249" customWidth="1"/>
    <col min="5" max="5" width="9.5703125" style="17" customWidth="1"/>
    <col min="6" max="6" width="13.42578125" style="253" bestFit="1" customWidth="1"/>
    <col min="7" max="7" width="11.85546875" style="28" bestFit="1" customWidth="1"/>
    <col min="8" max="8" width="48" bestFit="1" customWidth="1"/>
    <col min="9" max="9" width="47.7109375" customWidth="1"/>
  </cols>
  <sheetData>
    <row r="1" spans="1:8" s="76" customFormat="1" ht="52.5" customHeight="1">
      <c r="A1" s="146" t="str">
        <f>Collectivité&amp;" - "&amp;Service&amp;" - Fichier des chantiers"</f>
        <v>Ville d'Excel-les-Bains - Patrimoine bâti - Fichier des chantiers</v>
      </c>
      <c r="B1" s="112"/>
      <c r="C1" s="112"/>
      <c r="D1" s="244">
        <f>SUBTOTAL(9,D3:D8)</f>
        <v>17054.339998411539</v>
      </c>
      <c r="E1" s="148">
        <f>SUBTOTAL(9,E3:E8)</f>
        <v>101</v>
      </c>
      <c r="F1" s="244">
        <f>SUBTOTAL(9,F3:F8)</f>
        <v>2587.62</v>
      </c>
      <c r="G1" s="244">
        <f>SUBTOTAL(9,G3:G8)</f>
        <v>19641.959998411534</v>
      </c>
      <c r="H1" s="112"/>
    </row>
    <row r="2" spans="1:8" hidden="1"/>
    <row r="3" spans="1:8" s="1" customFormat="1" ht="38.25">
      <c r="A3" s="4" t="s">
        <v>5</v>
      </c>
      <c r="B3" s="5" t="s">
        <v>34</v>
      </c>
      <c r="C3" s="5" t="s">
        <v>18</v>
      </c>
      <c r="D3" s="246" t="s">
        <v>73</v>
      </c>
      <c r="E3" s="16" t="s">
        <v>75</v>
      </c>
      <c r="F3" s="246" t="s">
        <v>76</v>
      </c>
      <c r="G3" s="23" t="s">
        <v>77</v>
      </c>
      <c r="H3" s="5" t="s">
        <v>80</v>
      </c>
    </row>
    <row r="4" spans="1:8">
      <c r="A4" s="83" t="s">
        <v>272</v>
      </c>
      <c r="B4" s="83" t="s">
        <v>272</v>
      </c>
      <c r="C4" s="83"/>
      <c r="D4" s="247">
        <f>SUMIF(Interventions!C:C,Chantiers!H:H,Interventions!I:I)</f>
        <v>0</v>
      </c>
      <c r="E4" s="53">
        <f>SUMIF(Interventions!C:C,Chantiers!H:H,Interventions!J:J)</f>
        <v>0</v>
      </c>
      <c r="F4" s="251">
        <f>SUMIF(Interventions!C:C,Chantiers!H:H,Interventions!K:K)</f>
        <v>0</v>
      </c>
      <c r="G4" s="254">
        <f>D4+F4</f>
        <v>0</v>
      </c>
      <c r="H4" s="29" t="str">
        <f>IF(LEN(A4)+LEN(B4),A4&amp;" - "&amp;B4," ")</f>
        <v>... - ...</v>
      </c>
    </row>
    <row r="5" spans="1:8">
      <c r="A5" s="83" t="s">
        <v>256</v>
      </c>
      <c r="B5" s="83" t="s">
        <v>257</v>
      </c>
      <c r="C5" s="83"/>
      <c r="D5" s="247">
        <f>SUMIF(Interventions!C:C,Chantiers!H:H,Interventions!I:I)</f>
        <v>0</v>
      </c>
      <c r="E5" s="53">
        <f>SUMIF(Interventions!C:C,Chantiers!H:H,Interventions!J:J)</f>
        <v>0</v>
      </c>
      <c r="F5" s="251">
        <f>SUMIF(Interventions!C:C,Chantiers!H:H,Interventions!K:K)</f>
        <v>0</v>
      </c>
      <c r="G5" s="254">
        <f>D5+F5</f>
        <v>0</v>
      </c>
      <c r="H5" s="29" t="str">
        <f>IF(LEN(A5)+LEN(B5),A5&amp;" - "&amp;B5," ")</f>
        <v>BA140003 - Programme de réfection de l'hôtel de ville</v>
      </c>
    </row>
    <row r="6" spans="1:8">
      <c r="A6" s="83" t="s">
        <v>82</v>
      </c>
      <c r="B6" s="83" t="s">
        <v>83</v>
      </c>
      <c r="C6" s="83"/>
      <c r="D6" s="247">
        <f>SUMIF(Interventions!C:C,Chantiers!H:H,Interventions!I:I)</f>
        <v>15119.040001251698</v>
      </c>
      <c r="E6" s="53">
        <f>SUMIF(Interventions!C:C,Chantiers!H:H,Interventions!J:J)</f>
        <v>66</v>
      </c>
      <c r="F6" s="251">
        <f>SUMIF(Interventions!C:C,Chantiers!H:H,Interventions!K:K)</f>
        <v>1690.92</v>
      </c>
      <c r="G6" s="254">
        <f>D6+F6</f>
        <v>16809.960001251697</v>
      </c>
      <c r="H6" t="str">
        <f>IF(LEN(A6)+LEN(B6),A6&amp;" - "&amp;B6," ")</f>
        <v>BA140002 - Travaux 2014 groupe scolaire des Cerisiers</v>
      </c>
    </row>
    <row r="7" spans="1:8">
      <c r="A7" s="83" t="s">
        <v>79</v>
      </c>
      <c r="B7" s="83" t="s">
        <v>78</v>
      </c>
      <c r="C7" s="83"/>
      <c r="D7" s="247">
        <f>SUMIF(Interventions!C:C,Chantiers!H:H,Interventions!I:I)</f>
        <v>1935.2999971598388</v>
      </c>
      <c r="E7" s="53">
        <f>SUMIF(Interventions!C:C,Chantiers!H:H,Interventions!J:J)</f>
        <v>35</v>
      </c>
      <c r="F7" s="251">
        <f>SUMIF(Interventions!C:C,Chantiers!H:H,Interventions!K:K)</f>
        <v>896.7</v>
      </c>
      <c r="G7" s="254">
        <f>D7+F7</f>
        <v>2831.999997159839</v>
      </c>
      <c r="H7" s="29" t="str">
        <f>IF(LEN(A7)+LEN(B7),A7&amp;" - "&amp;B7," ")</f>
        <v>BA140001 - Travaux 2014 groupe scolaire des Myosotis</v>
      </c>
    </row>
    <row r="8" spans="1:8" s="6" customFormat="1">
      <c r="A8" s="7"/>
      <c r="B8" s="7"/>
      <c r="C8" s="7"/>
      <c r="D8" s="248"/>
      <c r="E8" s="18"/>
      <c r="F8" s="252"/>
      <c r="G8" s="40"/>
      <c r="H8" s="7"/>
    </row>
  </sheetData>
  <sheetProtection sheet="1" objects="1" scenarios="1" selectLockedCells="1" sort="0" autoFilter="0" pivotTables="0"/>
  <autoFilter ref="A3:H7">
    <filterColumn colId="2"/>
    <filterColumn colId="3"/>
    <filterColumn colId="4"/>
    <filterColumn colId="5"/>
    <filterColumn colId="6"/>
  </autoFilter>
  <sortState ref="A4:H7">
    <sortCondition ref="B7"/>
  </sortState>
  <printOptions horizontalCentered="1"/>
  <pageMargins left="0.19685039370078741" right="0.19685039370078741" top="0.39370078740157483" bottom="0.39370078740157483" header="0.19685039370078741" footer="0.19685039370078741"/>
  <pageSetup paperSize="9" scale="69" fitToHeight="0" orientation="landscape" verticalDpi="0" r:id="rId1"/>
  <headerFooter>
    <oddFooter>&amp;CPage &amp;P sur &amp;N -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H8"/>
  <sheetViews>
    <sheetView workbookViewId="0">
      <pane ySplit="3" topLeftCell="A4" activePane="bottomLeft" state="frozen"/>
      <selection activeCell="B3" sqref="B3"/>
      <selection pane="bottomLeft"/>
    </sheetView>
  </sheetViews>
  <sheetFormatPr baseColWidth="10" defaultRowHeight="12.75"/>
  <cols>
    <col min="2" max="2" width="33.140625" customWidth="1"/>
    <col min="3" max="3" width="15" style="3" customWidth="1"/>
    <col min="4" max="4" width="15" style="192" customWidth="1"/>
    <col min="5" max="6" width="15" style="3" customWidth="1"/>
    <col min="7" max="7" width="20.28515625" style="20" customWidth="1"/>
    <col min="8" max="8" width="15" customWidth="1"/>
  </cols>
  <sheetData>
    <row r="1" spans="1:8" s="76" customFormat="1" ht="49.5" customHeight="1">
      <c r="A1" s="146" t="str">
        <f>Collectivité&amp;" - "&amp;Service&amp;" - Fichier des imputations"</f>
        <v>Ville d'Excel-les-Bains - Patrimoine bâti - Fichier des imputations</v>
      </c>
      <c r="B1" s="146"/>
      <c r="C1" s="113"/>
      <c r="D1" s="191"/>
      <c r="E1" s="113"/>
      <c r="F1" s="113"/>
      <c r="G1" s="158"/>
      <c r="H1" s="152">
        <f>SUBTOTAL(9,H3:H8)</f>
        <v>18271.740001035629</v>
      </c>
    </row>
    <row r="2" spans="1:8" hidden="1"/>
    <row r="3" spans="1:8" s="1" customFormat="1" ht="25.5">
      <c r="A3" s="4" t="s">
        <v>28</v>
      </c>
      <c r="B3" s="4" t="s">
        <v>34</v>
      </c>
      <c r="C3" s="4" t="s">
        <v>29</v>
      </c>
      <c r="D3" s="193" t="s">
        <v>30</v>
      </c>
      <c r="E3" s="4" t="s">
        <v>31</v>
      </c>
      <c r="F3" s="4" t="s">
        <v>2</v>
      </c>
      <c r="G3" s="31" t="s">
        <v>32</v>
      </c>
      <c r="H3" s="5" t="s">
        <v>33</v>
      </c>
    </row>
    <row r="4" spans="1:8">
      <c r="A4" s="83" t="s">
        <v>272</v>
      </c>
      <c r="B4" s="83" t="s">
        <v>272</v>
      </c>
      <c r="C4" s="84" t="s">
        <v>275</v>
      </c>
      <c r="D4" s="226" t="s">
        <v>275</v>
      </c>
      <c r="E4" s="84" t="s">
        <v>275</v>
      </c>
      <c r="F4" s="84" t="s">
        <v>275</v>
      </c>
      <c r="G4" s="85" t="s">
        <v>37</v>
      </c>
      <c r="H4" s="28">
        <f>SUMIF('Lignes commandes'!C:C,A:A,'Lignes commandes'!J:J)</f>
        <v>0</v>
      </c>
    </row>
    <row r="5" spans="1:8">
      <c r="A5" s="83" t="s">
        <v>259</v>
      </c>
      <c r="B5" s="83" t="s">
        <v>260</v>
      </c>
      <c r="C5" s="84" t="s">
        <v>39</v>
      </c>
      <c r="D5" s="194">
        <v>20</v>
      </c>
      <c r="E5" s="84">
        <v>60223</v>
      </c>
      <c r="F5" s="84" t="s">
        <v>261</v>
      </c>
      <c r="G5" s="85" t="s">
        <v>37</v>
      </c>
      <c r="H5" s="28">
        <f>SUMIF('Lignes commandes'!C:C,A:A,'Lignes commandes'!J:J)</f>
        <v>142.20000035315752</v>
      </c>
    </row>
    <row r="6" spans="1:8">
      <c r="A6" s="83" t="s">
        <v>47</v>
      </c>
      <c r="B6" s="83" t="s">
        <v>38</v>
      </c>
      <c r="C6" s="84" t="s">
        <v>39</v>
      </c>
      <c r="D6" s="194" t="s">
        <v>36</v>
      </c>
      <c r="E6" s="84">
        <v>60223</v>
      </c>
      <c r="F6" s="84" t="s">
        <v>35</v>
      </c>
      <c r="G6" s="85" t="s">
        <v>37</v>
      </c>
      <c r="H6" s="28">
        <f>SUMIF('Lignes commandes'!C:C,A:A,'Lignes commandes'!J:J)</f>
        <v>3238.7400000864268</v>
      </c>
    </row>
    <row r="7" spans="1:8">
      <c r="A7" s="83" t="s">
        <v>51</v>
      </c>
      <c r="B7" s="83" t="s">
        <v>52</v>
      </c>
      <c r="C7" s="84" t="s">
        <v>39</v>
      </c>
      <c r="D7" s="194" t="s">
        <v>36</v>
      </c>
      <c r="E7" s="84">
        <v>2183</v>
      </c>
      <c r="F7" s="84" t="s">
        <v>35</v>
      </c>
      <c r="G7" s="85" t="s">
        <v>53</v>
      </c>
      <c r="H7" s="28">
        <f>SUMIF('Lignes commandes'!C:C,A:A,'Lignes commandes'!J:J)</f>
        <v>14890.800000596046</v>
      </c>
    </row>
    <row r="8" spans="1:8">
      <c r="A8" s="7"/>
      <c r="B8" s="7"/>
      <c r="C8" s="8"/>
      <c r="D8" s="195"/>
      <c r="E8" s="8"/>
      <c r="F8" s="8"/>
      <c r="G8" s="21"/>
      <c r="H8" s="7"/>
    </row>
  </sheetData>
  <sheetProtection selectLockedCells="1" sort="0" autoFilter="0" pivotTables="0"/>
  <autoFilter ref="A3:H7"/>
  <sortState ref="A4:H7">
    <sortCondition ref="A6"/>
  </sortState>
  <dataValidations count="1">
    <dataValidation type="list" allowBlank="1" showInputMessage="1" showErrorMessage="1" sqref="G4:G7">
      <formula1>Liste_Sections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fitToHeight="0" orientation="landscape" verticalDpi="0" r:id="rId1"/>
  <headerFooter>
    <oddFooter>&amp;CPage &amp;P sur &amp;N - 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F10"/>
  <sheetViews>
    <sheetView workbookViewId="0">
      <pane ySplit="3" topLeftCell="A4" activePane="bottomLeft" state="frozen"/>
      <selection activeCell="B3" sqref="B3"/>
      <selection pane="bottomLeft" activeCell="A5" sqref="A5"/>
    </sheetView>
  </sheetViews>
  <sheetFormatPr baseColWidth="10" defaultRowHeight="12.75"/>
  <cols>
    <col min="1" max="1" width="33.140625" customWidth="1"/>
    <col min="2" max="2" width="35.28515625" style="29" customWidth="1"/>
    <col min="3" max="3" width="12" style="186" customWidth="1"/>
    <col min="4" max="4" width="28.7109375" style="29" customWidth="1"/>
    <col min="5" max="5" width="41.5703125" style="20" customWidth="1"/>
    <col min="6" max="8" width="18.28515625" customWidth="1"/>
  </cols>
  <sheetData>
    <row r="1" spans="1:6" s="76" customFormat="1" ht="52.5" customHeight="1">
      <c r="A1" s="146" t="str">
        <f>Collectivité&amp;" - "&amp;Service&amp;" - Fichier des fournisseurs"</f>
        <v>Ville d'Excel-les-Bains - Patrimoine bâti - Fichier des fournisseurs</v>
      </c>
      <c r="B1" s="146"/>
      <c r="C1" s="185"/>
      <c r="D1" s="146"/>
      <c r="E1" s="158"/>
      <c r="F1" s="152">
        <f>SUBTOTAL(9,F3:F10)</f>
        <v>18271.740001035632</v>
      </c>
    </row>
    <row r="2" spans="1:6" hidden="1">
      <c r="F2" s="3"/>
    </row>
    <row r="3" spans="1:6" s="1" customFormat="1" ht="25.5">
      <c r="A3" s="4" t="s">
        <v>34</v>
      </c>
      <c r="B3" s="5" t="s">
        <v>87</v>
      </c>
      <c r="C3" s="187" t="s">
        <v>107</v>
      </c>
      <c r="D3" s="5" t="s">
        <v>108</v>
      </c>
      <c r="E3" s="19" t="s">
        <v>18</v>
      </c>
      <c r="F3" s="4" t="s">
        <v>33</v>
      </c>
    </row>
    <row r="4" spans="1:6" s="36" customFormat="1" ht="26.25" customHeight="1">
      <c r="A4" s="79" t="s">
        <v>272</v>
      </c>
      <c r="B4" s="79"/>
      <c r="C4" s="188"/>
      <c r="D4" s="79"/>
      <c r="E4" s="87"/>
      <c r="F4" s="184">
        <f>SUMIF('Entêtes commandes'!C:C,A:A,'Entêtes commandes'!G:G)</f>
        <v>0</v>
      </c>
    </row>
    <row r="5" spans="1:6" s="36" customFormat="1" ht="26.25" customHeight="1">
      <c r="A5" s="79" t="s">
        <v>26</v>
      </c>
      <c r="B5" s="79" t="s">
        <v>106</v>
      </c>
      <c r="C5" s="188">
        <v>69999</v>
      </c>
      <c r="D5" s="79" t="s">
        <v>109</v>
      </c>
      <c r="E5" s="91"/>
      <c r="F5" s="184">
        <f>SUMIF('Entêtes commandes'!C:C,A:A,'Entêtes commandes'!G:G)</f>
        <v>1456.7399965757131</v>
      </c>
    </row>
    <row r="6" spans="1:6" s="36" customFormat="1" ht="26.25" customHeight="1">
      <c r="A6" s="79" t="s">
        <v>248</v>
      </c>
      <c r="B6" s="79" t="s">
        <v>249</v>
      </c>
      <c r="C6" s="188">
        <v>69999</v>
      </c>
      <c r="D6" s="79" t="s">
        <v>109</v>
      </c>
      <c r="E6" s="87" t="s">
        <v>250</v>
      </c>
      <c r="F6" s="184">
        <f>SUMIF('Entêtes commandes'!C:C,A:A,'Entêtes commandes'!G:G)</f>
        <v>15600.600003279746</v>
      </c>
    </row>
    <row r="7" spans="1:6" s="36" customFormat="1" ht="26.25" customHeight="1">
      <c r="A7" s="79" t="s">
        <v>27</v>
      </c>
      <c r="B7" s="79" t="s">
        <v>251</v>
      </c>
      <c r="C7" s="188">
        <v>69999</v>
      </c>
      <c r="D7" s="79" t="s">
        <v>109</v>
      </c>
      <c r="E7" s="87"/>
      <c r="F7" s="184">
        <f>SUMIF('Entêtes commandes'!C:C,A:A,'Entêtes commandes'!G:G)</f>
        <v>0</v>
      </c>
    </row>
    <row r="8" spans="1:6" s="36" customFormat="1" ht="26.25" customHeight="1">
      <c r="A8" s="79" t="s">
        <v>24</v>
      </c>
      <c r="B8" s="79" t="s">
        <v>105</v>
      </c>
      <c r="C8" s="188">
        <v>69999</v>
      </c>
      <c r="D8" s="79" t="s">
        <v>109</v>
      </c>
      <c r="E8" s="91"/>
      <c r="F8" s="184">
        <f>SUMIF('Entêtes commandes'!C:C,A:A,'Entêtes commandes'!G:G)</f>
        <v>1214.400001180172</v>
      </c>
    </row>
    <row r="9" spans="1:6" s="36" customFormat="1" ht="26.25" customHeight="1">
      <c r="A9" s="79" t="s">
        <v>184</v>
      </c>
      <c r="B9" s="79" t="s">
        <v>185</v>
      </c>
      <c r="C9" s="188">
        <v>69999</v>
      </c>
      <c r="D9" s="79" t="s">
        <v>109</v>
      </c>
      <c r="E9" s="87"/>
      <c r="F9" s="184">
        <f>SUMIF('Entêtes commandes'!C:C,A:A,'Entêtes commandes'!G:G)</f>
        <v>0</v>
      </c>
    </row>
    <row r="10" spans="1:6">
      <c r="A10" s="7"/>
      <c r="B10" s="30"/>
      <c r="C10" s="189"/>
      <c r="D10" s="30"/>
      <c r="E10" s="21"/>
      <c r="F10" s="7"/>
    </row>
  </sheetData>
  <sheetProtection sheet="1" objects="1" scenarios="1" selectLockedCells="1" sort="0" autoFilter="0" pivotTables="0"/>
  <autoFilter ref="A3:F9"/>
  <sortState ref="A4:F9">
    <sortCondition ref="A5"/>
  </sortState>
  <printOptions horizontalCentered="1"/>
  <pageMargins left="0.19685039370078741" right="0.19685039370078741" top="0.39370078740157483" bottom="0.39370078740157483" header="0.19685039370078741" footer="0.19685039370078741"/>
  <pageSetup paperSize="9" scale="99" fitToHeight="0" orientation="landscape" verticalDpi="0" r:id="rId1"/>
  <headerFooter>
    <oddFooter>&amp;CPage &amp;P sur &amp;N - 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H11"/>
  <sheetViews>
    <sheetView workbookViewId="0">
      <pane ySplit="5" topLeftCell="A6" activePane="bottomLeft" state="frozen"/>
      <selection activeCell="B3" sqref="B3"/>
      <selection pane="bottomLeft" activeCell="A8" sqref="A8"/>
    </sheetView>
  </sheetViews>
  <sheetFormatPr baseColWidth="10" defaultRowHeight="12.75"/>
  <cols>
    <col min="1" max="2" width="18.140625" customWidth="1"/>
    <col min="3" max="3" width="14.28515625" style="33" customWidth="1"/>
    <col min="4" max="4" width="14.28515625" style="3" customWidth="1"/>
    <col min="5" max="5" width="28.28515625" customWidth="1"/>
    <col min="6" max="6" width="22.140625" style="20" customWidth="1"/>
    <col min="7" max="7" width="22.140625" style="3" customWidth="1"/>
    <col min="8" max="8" width="32.5703125" style="3" customWidth="1"/>
  </cols>
  <sheetData>
    <row r="1" spans="1:8" s="76" customFormat="1" ht="30" customHeight="1">
      <c r="A1" s="146" t="str">
        <f>Collectivité&amp;" - "&amp;Service&amp;" - Fichier des agents"</f>
        <v>Ville d'Excel-les-Bains - Patrimoine bâti - Fichier des agents</v>
      </c>
      <c r="B1" s="112"/>
      <c r="C1" s="159"/>
      <c r="D1" s="113"/>
      <c r="E1" s="112"/>
      <c r="F1" s="158"/>
      <c r="G1" s="113"/>
      <c r="H1" s="113"/>
    </row>
    <row r="2" spans="1:8" ht="6" customHeight="1">
      <c r="A2" s="160"/>
      <c r="B2" s="117"/>
      <c r="C2" s="161"/>
      <c r="D2" s="120"/>
      <c r="E2" s="117"/>
      <c r="F2" s="162"/>
      <c r="G2" s="120"/>
      <c r="H2" s="120"/>
    </row>
    <row r="3" spans="1:8" ht="15.75">
      <c r="A3" s="160"/>
      <c r="B3" s="117"/>
      <c r="C3" s="163">
        <f>SUBTOTAL(9,C5:C11)</f>
        <v>5</v>
      </c>
      <c r="D3" s="149">
        <f>SUBTOTAL(9,D5:D11)</f>
        <v>18271.740001035632</v>
      </c>
      <c r="E3" s="117"/>
      <c r="F3" s="162"/>
      <c r="G3" s="120"/>
      <c r="H3" s="120"/>
    </row>
    <row r="4" spans="1:8">
      <c r="A4" s="117"/>
      <c r="B4" s="117"/>
      <c r="C4" s="161"/>
      <c r="D4" s="120"/>
      <c r="E4" s="117"/>
      <c r="F4" s="162"/>
      <c r="G4" s="120"/>
      <c r="H4" s="120"/>
    </row>
    <row r="5" spans="1:8" s="1" customFormat="1" ht="25.5">
      <c r="A5" s="4" t="s">
        <v>7</v>
      </c>
      <c r="B5" s="5" t="s">
        <v>8</v>
      </c>
      <c r="C5" s="34" t="s">
        <v>9</v>
      </c>
      <c r="D5" s="4" t="s">
        <v>110</v>
      </c>
      <c r="E5" s="5" t="s">
        <v>16</v>
      </c>
      <c r="F5" s="19" t="s">
        <v>2</v>
      </c>
      <c r="G5" s="4" t="s">
        <v>132</v>
      </c>
      <c r="H5" s="4" t="s">
        <v>198</v>
      </c>
    </row>
    <row r="6" spans="1:8">
      <c r="A6" s="83" t="s">
        <v>272</v>
      </c>
      <c r="B6" s="83" t="s">
        <v>272</v>
      </c>
      <c r="C6" s="54">
        <f>COUNTIF('Entêtes commandes'!D:D,Agents!E:E)</f>
        <v>0</v>
      </c>
      <c r="D6" s="32">
        <f>SUMIF('Entêtes commandes'!D:D,Agents!E:E,'Entêtes commandes'!G:G)</f>
        <v>0</v>
      </c>
      <c r="E6" s="6" t="str">
        <f>A6&amp;" "&amp;B6</f>
        <v>... ...</v>
      </c>
      <c r="F6" s="86" t="s">
        <v>272</v>
      </c>
      <c r="G6" s="102"/>
      <c r="H6" s="111"/>
    </row>
    <row r="7" spans="1:8">
      <c r="A7" s="83" t="s">
        <v>14</v>
      </c>
      <c r="B7" s="83" t="s">
        <v>15</v>
      </c>
      <c r="C7" s="54">
        <f>COUNTIF('Entêtes commandes'!D:D,Agents!E:E)</f>
        <v>1</v>
      </c>
      <c r="D7" s="32">
        <f>SUMIF('Entêtes commandes'!D:D,Agents!E:E,'Entêtes commandes'!G:G)</f>
        <v>0</v>
      </c>
      <c r="E7" s="6" t="str">
        <f>A7&amp;" "&amp;B7</f>
        <v>CARATINI Patrice</v>
      </c>
      <c r="F7" s="86" t="s">
        <v>119</v>
      </c>
      <c r="G7" s="102" t="s">
        <v>202</v>
      </c>
      <c r="H7" s="111" t="s">
        <v>205</v>
      </c>
    </row>
    <row r="8" spans="1:8">
      <c r="A8" s="83" t="s">
        <v>252</v>
      </c>
      <c r="B8" s="83" t="s">
        <v>253</v>
      </c>
      <c r="C8" s="54">
        <f>COUNTIF('Entêtes commandes'!D:D,Agents!E:E)</f>
        <v>1</v>
      </c>
      <c r="D8" s="32">
        <f>SUMIF('Entêtes commandes'!D:D,Agents!E:E,'Entêtes commandes'!G:G)</f>
        <v>1214.400001180172</v>
      </c>
      <c r="E8" s="6" t="str">
        <f>A8&amp;" "&amp;B8</f>
        <v>CHOPARD Pierre</v>
      </c>
      <c r="F8" s="86" t="s">
        <v>116</v>
      </c>
      <c r="G8" s="102" t="s">
        <v>255</v>
      </c>
      <c r="H8" s="111" t="s">
        <v>254</v>
      </c>
    </row>
    <row r="9" spans="1:8">
      <c r="A9" s="83" t="s">
        <v>10</v>
      </c>
      <c r="B9" s="83" t="s">
        <v>11</v>
      </c>
      <c r="C9" s="54">
        <f>COUNTIF('Entêtes commandes'!D:D,Agents!E:E)</f>
        <v>2</v>
      </c>
      <c r="D9" s="32">
        <f>SUMIF('Entêtes commandes'!D:D,Agents!E:E,'Entêtes commandes'!G:G)</f>
        <v>16722.299999855459</v>
      </c>
      <c r="E9" s="6" t="str">
        <f>A9&amp;" "&amp;B9</f>
        <v>MARCHALL Bernard</v>
      </c>
      <c r="F9" s="86" t="s">
        <v>119</v>
      </c>
      <c r="G9" s="102" t="s">
        <v>200</v>
      </c>
      <c r="H9" s="111" t="s">
        <v>199</v>
      </c>
    </row>
    <row r="10" spans="1:8">
      <c r="A10" s="83" t="s">
        <v>12</v>
      </c>
      <c r="B10" s="83" t="s">
        <v>13</v>
      </c>
      <c r="C10" s="54">
        <f>COUNTIF('Entêtes commandes'!D:D,Agents!E:E)</f>
        <v>1</v>
      </c>
      <c r="D10" s="32">
        <f>SUMIF('Entêtes commandes'!D:D,Agents!E:E,'Entêtes commandes'!G:G)</f>
        <v>335.03999999999996</v>
      </c>
      <c r="E10" s="6" t="str">
        <f>A10&amp;" "&amp;B10</f>
        <v>MONIN Gérard</v>
      </c>
      <c r="F10" s="86" t="s">
        <v>116</v>
      </c>
      <c r="G10" s="102" t="s">
        <v>201</v>
      </c>
      <c r="H10" s="111" t="s">
        <v>204</v>
      </c>
    </row>
    <row r="11" spans="1:8">
      <c r="A11" s="7"/>
      <c r="B11" s="7"/>
      <c r="C11" s="35"/>
      <c r="D11" s="8"/>
      <c r="E11" s="7"/>
      <c r="F11" s="21"/>
      <c r="G11" s="8"/>
      <c r="H11" s="8"/>
    </row>
  </sheetData>
  <sheetProtection sheet="1" objects="1" scenarios="1" selectLockedCells="1" sort="0" autoFilter="0" pivotTables="0"/>
  <sortState ref="A6:H10">
    <sortCondition ref="A8"/>
  </sortState>
  <conditionalFormatting sqref="F7:F10">
    <cfRule type="expression" dxfId="14" priority="3">
      <formula>OR(AND(ISERROR(VLOOKUP(F7,Liste_Services,1,FALSE)),LEN(F7)&gt;0),F7="Libellé")</formula>
    </cfRule>
  </conditionalFormatting>
  <conditionalFormatting sqref="F6">
    <cfRule type="expression" dxfId="13" priority="1">
      <formula>OR(AND(ISERROR(VLOOKUP(F6,Liste_Services,1,FALSE)),LEN(F6)&gt;0),F6="Libellé")</formula>
    </cfRule>
  </conditionalFormatting>
  <dataValidations count="1">
    <dataValidation type="list" allowBlank="1" showInputMessage="1" showErrorMessage="1" sqref="G11:H11 G5:H5 F5:F11">
      <formula1>Liste_Services</formula1>
    </dataValidation>
  </dataValidations>
  <hyperlinks>
    <hyperlink ref="H10" r:id="rId1"/>
    <hyperlink ref="H9" r:id="rId2"/>
    <hyperlink ref="H7" r:id="rId3"/>
  </hyperlinks>
  <printOptions horizontalCentered="1"/>
  <pageMargins left="0.19685039370078741" right="0.19685039370078741" top="0.39370078740157483" bottom="0.39370078740157483" header="0.19685039370078741" footer="0.19685039370078741"/>
  <pageSetup paperSize="9" scale="86" fitToHeight="0" orientation="landscape" r:id="rId4"/>
  <headerFooter>
    <oddFooter>&amp;CPage &amp;P sur &amp;N - &amp;D</oddFooter>
  </headerFooter>
  <drawing r:id="rId5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I10"/>
  <sheetViews>
    <sheetView workbookViewId="0">
      <pane xSplit="2" ySplit="3" topLeftCell="C4" activePane="bottomRight" state="frozen"/>
      <selection activeCell="B3" sqref="B3"/>
      <selection pane="topRight" activeCell="B3" sqref="B3"/>
      <selection pane="bottomLeft" activeCell="B3" sqref="B3"/>
      <selection pane="bottomRight" activeCell="A7" sqref="A7"/>
    </sheetView>
  </sheetViews>
  <sheetFormatPr baseColWidth="10" defaultRowHeight="12.75"/>
  <cols>
    <col min="2" max="2" width="19" customWidth="1"/>
    <col min="3" max="3" width="26.140625" style="20" customWidth="1"/>
    <col min="4" max="4" width="12.5703125" style="41" bestFit="1" customWidth="1"/>
    <col min="5" max="6" width="15.7109375" style="22" customWidth="1"/>
    <col min="7" max="7" width="29.140625" style="20" customWidth="1"/>
    <col min="8" max="8" width="27.42578125" style="25" customWidth="1"/>
    <col min="9" max="9" width="19" style="20" customWidth="1"/>
  </cols>
  <sheetData>
    <row r="1" spans="1:9" s="76" customFormat="1" ht="50.25" customHeight="1">
      <c r="A1" s="281" t="str">
        <f>Collectivité&amp;" - "&amp;Service&amp;" - Fichier des bâtiments"</f>
        <v>Ville d'Excel-les-Bains - Patrimoine bâti - Fichier des bâtiments</v>
      </c>
      <c r="B1" s="281"/>
      <c r="C1" s="281"/>
      <c r="D1" s="230">
        <f>SUBTOTAL(9,D3:D10)</f>
        <v>8850</v>
      </c>
      <c r="E1" s="114">
        <f>SUBTOTAL(9,E3:E10)</f>
        <v>19641.959998411534</v>
      </c>
      <c r="F1" s="114">
        <f>SUBTOTAL(9,F3:F10)</f>
        <v>11791.309999362529</v>
      </c>
      <c r="G1" s="158"/>
      <c r="H1" s="190"/>
      <c r="I1" s="158"/>
    </row>
    <row r="2" spans="1:9" ht="0.75" customHeight="1"/>
    <row r="3" spans="1:9" s="1" customFormat="1" ht="38.25">
      <c r="A3" s="4" t="s">
        <v>28</v>
      </c>
      <c r="B3" s="19" t="s">
        <v>34</v>
      </c>
      <c r="C3" s="19" t="s">
        <v>87</v>
      </c>
      <c r="D3" s="42" t="s">
        <v>114</v>
      </c>
      <c r="E3" s="23" t="s">
        <v>96</v>
      </c>
      <c r="F3" s="23" t="s">
        <v>163</v>
      </c>
      <c r="G3" s="19" t="s">
        <v>18</v>
      </c>
      <c r="H3" s="26" t="s">
        <v>80</v>
      </c>
      <c r="I3" s="19" t="s">
        <v>95</v>
      </c>
    </row>
    <row r="4" spans="1:9" s="50" customFormat="1" ht="25.5" customHeight="1">
      <c r="A4" s="78" t="s">
        <v>272</v>
      </c>
      <c r="B4" s="79" t="s">
        <v>272</v>
      </c>
      <c r="C4" s="87"/>
      <c r="D4" s="88">
        <v>0</v>
      </c>
      <c r="E4" s="56">
        <f>SUMIF(Interventions!D:D,H:H,Interventions!L:L)</f>
        <v>0</v>
      </c>
      <c r="F4" s="56">
        <f>SUMIF('Factures Fluides et Energies'!D:D,H:H,'Factures Fluides et Energies'!R:R)</f>
        <v>0</v>
      </c>
      <c r="G4" s="90"/>
      <c r="H4" s="75" t="str">
        <f>IF(LEN(A4)+LEN(B4),A4&amp;" - "&amp;B4,"")</f>
        <v>... - ...</v>
      </c>
      <c r="I4" s="87" t="s">
        <v>272</v>
      </c>
    </row>
    <row r="5" spans="1:9" s="50" customFormat="1" ht="25.5" customHeight="1">
      <c r="A5" s="78" t="s">
        <v>86</v>
      </c>
      <c r="B5" s="79" t="s">
        <v>85</v>
      </c>
      <c r="C5" s="87" t="s">
        <v>88</v>
      </c>
      <c r="D5" s="88">
        <v>1200</v>
      </c>
      <c r="E5" s="56">
        <f>SUMIF(Interventions!D:D,H:H,Interventions!L:L)</f>
        <v>0</v>
      </c>
      <c r="F5" s="56">
        <f>SUMIF('Factures Fluides et Energies'!D:D,H:H,'Factures Fluides et Energies'!R:R)</f>
        <v>4426.4399993625284</v>
      </c>
      <c r="G5" s="90"/>
      <c r="H5" s="75" t="str">
        <f>IF(LEN(A5)+LEN(B5),A5&amp;" - "&amp;B5,"")</f>
        <v>BA001 - Hôtel de ville</v>
      </c>
      <c r="I5" s="87" t="s">
        <v>125</v>
      </c>
    </row>
    <row r="6" spans="1:9" s="50" customFormat="1" ht="25.5" customHeight="1">
      <c r="A6" s="78" t="s">
        <v>89</v>
      </c>
      <c r="B6" s="79" t="s">
        <v>90</v>
      </c>
      <c r="C6" s="87" t="s">
        <v>93</v>
      </c>
      <c r="D6" s="89">
        <v>2500</v>
      </c>
      <c r="E6" s="56">
        <f>SUMIF(Interventions!D:D,H:H,Interventions!L:L)</f>
        <v>2831.9999971598386</v>
      </c>
      <c r="F6" s="56">
        <f>SUMIF('Factures Fluides et Energies'!D:D,H:H,'Factures Fluides et Energies'!R:R)</f>
        <v>4249.0200000000004</v>
      </c>
      <c r="G6" s="90"/>
      <c r="H6" s="75" t="str">
        <f>IF(LEN(A6)+LEN(B6),A6&amp;" - "&amp;B6,"")</f>
        <v>BA002 - Groupe scolaire des Myosotis</v>
      </c>
      <c r="I6" s="87" t="s">
        <v>173</v>
      </c>
    </row>
    <row r="7" spans="1:9" s="50" customFormat="1" ht="25.5" customHeight="1">
      <c r="A7" s="78" t="s">
        <v>91</v>
      </c>
      <c r="B7" s="79" t="s">
        <v>92</v>
      </c>
      <c r="C7" s="87" t="s">
        <v>94</v>
      </c>
      <c r="D7" s="88">
        <v>3200</v>
      </c>
      <c r="E7" s="56">
        <f>SUMIF(Interventions!D:D,H:H,Interventions!L:L)</f>
        <v>16809.960001251697</v>
      </c>
      <c r="F7" s="56">
        <f>SUMIF('Factures Fluides et Energies'!D:D,H:H,'Factures Fluides et Energies'!R:R)</f>
        <v>3115.85</v>
      </c>
      <c r="G7" s="90"/>
      <c r="H7" s="75" t="str">
        <f>IF(LEN(A7)+LEN(B7),A7&amp;" - "&amp;B7," ")</f>
        <v>BA003 - Groupe scolaire des Cerisiers</v>
      </c>
      <c r="I7" s="87" t="s">
        <v>173</v>
      </c>
    </row>
    <row r="8" spans="1:9" s="50" customFormat="1" ht="25.5" customHeight="1">
      <c r="A8" s="78" t="s">
        <v>266</v>
      </c>
      <c r="B8" s="79" t="s">
        <v>267</v>
      </c>
      <c r="C8" s="87" t="s">
        <v>268</v>
      </c>
      <c r="D8" s="88">
        <v>750</v>
      </c>
      <c r="E8" s="56">
        <f>SUMIF(Interventions!D:D,H:H,Interventions!L:L)</f>
        <v>0</v>
      </c>
      <c r="F8" s="56">
        <f>SUMIF('Factures Fluides et Energies'!D:D,H:H,'Factures Fluides et Energies'!R:R)</f>
        <v>0</v>
      </c>
      <c r="G8" s="90"/>
      <c r="H8" s="75" t="str">
        <f>IF(LEN(A8)+LEN(B8),A8&amp;" - "&amp;B8,"")</f>
        <v>BA004 - Police municipale</v>
      </c>
      <c r="I8" s="87" t="s">
        <v>265</v>
      </c>
    </row>
    <row r="9" spans="1:9" s="50" customFormat="1" ht="25.5" customHeight="1">
      <c r="A9" s="78" t="s">
        <v>282</v>
      </c>
      <c r="B9" s="79" t="s">
        <v>283</v>
      </c>
      <c r="C9" s="87" t="s">
        <v>284</v>
      </c>
      <c r="D9" s="88">
        <v>1200</v>
      </c>
      <c r="E9" s="56">
        <f>SUMIF(Interventions!D:D,H:H,Interventions!L:L)</f>
        <v>0</v>
      </c>
      <c r="F9" s="56">
        <f>SUMIF('Factures Fluides et Energies'!D:D,H:H,'Factures Fluides et Energies'!R:R)</f>
        <v>0</v>
      </c>
      <c r="G9" s="90"/>
      <c r="H9" s="75" t="str">
        <f>IF(LEN(A9)+LEN(B9),A9&amp;" - "&amp;B9,"")</f>
        <v>BA005 - Ateliers municipaux</v>
      </c>
      <c r="I9" s="87" t="s">
        <v>126</v>
      </c>
    </row>
    <row r="10" spans="1:9">
      <c r="A10" s="7"/>
      <c r="B10" s="7"/>
      <c r="C10" s="21"/>
      <c r="D10" s="43"/>
      <c r="E10" s="24"/>
      <c r="F10" s="24"/>
      <c r="G10" s="21"/>
      <c r="H10" s="27"/>
      <c r="I10" s="21"/>
    </row>
  </sheetData>
  <sheetProtection sheet="1" objects="1" scenarios="1" selectLockedCells="1" sort="0" autoFilter="0" pivotTables="0"/>
  <sortState ref="A4:I9">
    <sortCondition ref="A7"/>
  </sortState>
  <mergeCells count="1">
    <mergeCell ref="A1:C1"/>
  </mergeCells>
  <conditionalFormatting sqref="I6:I9">
    <cfRule type="expression" dxfId="12" priority="8">
      <formula>OR(AND(ISERROR(VLOOKUP(I6,Liste_Catégories_Bâtiments,1,FALSE)),LEN(I6)&gt;0),I6="Catégorie")</formula>
    </cfRule>
  </conditionalFormatting>
  <conditionalFormatting sqref="I5">
    <cfRule type="expression" dxfId="11" priority="5">
      <formula>OR(AND(ISERROR(VLOOKUP(I5,Liste_Catégories_Bâtiments,1,FALSE)),LEN(I5)&gt;0),I5="Catégorie")</formula>
    </cfRule>
  </conditionalFormatting>
  <conditionalFormatting sqref="I4">
    <cfRule type="expression" dxfId="10" priority="1">
      <formula>OR(AND(ISERROR(VLOOKUP(I4,Liste_Catégories_Bâtiments,1,FALSE)),LEN(I4)&gt;0),I4="Catégorie")</formula>
    </cfRule>
  </conditionalFormatting>
  <dataValidations count="1">
    <dataValidation type="list" allowBlank="1" showInputMessage="1" showErrorMessage="1" sqref="D4:D9 I4:I9">
      <formula1>Liste_Catégories_Bâtiments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scale="83" fitToHeight="0" orientation="landscape" verticalDpi="0" r:id="rId1"/>
  <headerFooter>
    <oddFooter>&amp;CPage &amp;P sur &amp;N - &amp;D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F14"/>
  <sheetViews>
    <sheetView workbookViewId="0">
      <pane ySplit="5" topLeftCell="A6" activePane="bottomLeft" state="frozen"/>
      <selection activeCell="B3" sqref="B3"/>
      <selection pane="bottomLeft" activeCell="A7" sqref="A7"/>
    </sheetView>
  </sheetViews>
  <sheetFormatPr baseColWidth="10" defaultRowHeight="12.75"/>
  <cols>
    <col min="1" max="1" width="23.42578125" customWidth="1"/>
    <col min="2" max="2" width="37.42578125" style="20" customWidth="1"/>
    <col min="3" max="3" width="18" style="48" customWidth="1"/>
    <col min="4" max="4" width="18" style="44" customWidth="1"/>
    <col min="5" max="6" width="22.140625" style="28" customWidth="1"/>
  </cols>
  <sheetData>
    <row r="1" spans="1:6" s="76" customFormat="1" ht="42" customHeight="1">
      <c r="A1" s="146" t="str">
        <f>Collectivité&amp;" - "&amp;Service&amp;" - Fichier des catégories de bâtiments"</f>
        <v>Ville d'Excel-les-Bains - Patrimoine bâti - Fichier des catégories de bâtiments</v>
      </c>
      <c r="B1" s="158"/>
      <c r="C1" s="164"/>
      <c r="D1" s="165"/>
      <c r="E1" s="166"/>
      <c r="F1" s="166"/>
    </row>
    <row r="2" spans="1:6">
      <c r="A2" s="117"/>
      <c r="B2" s="162"/>
      <c r="C2" s="167"/>
      <c r="D2" s="168"/>
      <c r="E2" s="169"/>
      <c r="F2" s="169"/>
    </row>
    <row r="3" spans="1:6">
      <c r="A3" s="117"/>
      <c r="B3" s="162"/>
      <c r="C3" s="167"/>
      <c r="D3" s="168"/>
      <c r="E3" s="169">
        <f>SUBTOTAL(9,E5:E14)</f>
        <v>19641.959998411534</v>
      </c>
      <c r="F3" s="169">
        <f>SUBTOTAL(9,F5:F14)</f>
        <v>11791.309999362529</v>
      </c>
    </row>
    <row r="4" spans="1:6">
      <c r="A4" s="117"/>
      <c r="B4" s="162"/>
      <c r="C4" s="167"/>
      <c r="D4" s="168"/>
      <c r="E4" s="169"/>
      <c r="F4" s="169"/>
    </row>
    <row r="5" spans="1:6" ht="25.5">
      <c r="A5" s="37" t="s">
        <v>95</v>
      </c>
      <c r="B5" s="38" t="s">
        <v>18</v>
      </c>
      <c r="C5" s="49" t="s">
        <v>111</v>
      </c>
      <c r="D5" s="45" t="s">
        <v>112</v>
      </c>
      <c r="E5" s="39" t="s">
        <v>113</v>
      </c>
      <c r="F5" s="39" t="s">
        <v>164</v>
      </c>
    </row>
    <row r="6" spans="1:6">
      <c r="A6" s="83" t="s">
        <v>272</v>
      </c>
      <c r="B6" s="85"/>
      <c r="C6" s="33">
        <f>SUMIF(Bâtiments!I:I,A:A)</f>
        <v>0</v>
      </c>
      <c r="D6" s="46">
        <f>SUMIF(Bâtiments!I:I,A:A,Bâtiments!D:D)</f>
        <v>0</v>
      </c>
      <c r="E6" s="28">
        <f>SUMIF(Bâtiments!I:I,A:A,Bâtiments!E:E)</f>
        <v>0</v>
      </c>
      <c r="F6" s="28">
        <f>SUMIF(Bâtiments!I:I,A:A,Bâtiments!F:F)</f>
        <v>0</v>
      </c>
    </row>
    <row r="7" spans="1:6">
      <c r="A7" s="83" t="s">
        <v>125</v>
      </c>
      <c r="B7" s="85"/>
      <c r="C7" s="33">
        <f>SUMIF(Bâtiments!I:I,A:A)</f>
        <v>0</v>
      </c>
      <c r="D7" s="46">
        <f>SUMIF(Bâtiments!I:I,A:A,Bâtiments!D:D)</f>
        <v>1200</v>
      </c>
      <c r="E7" s="28">
        <f>SUMIF(Bâtiments!I:I,A:A,Bâtiments!E:E)</f>
        <v>0</v>
      </c>
      <c r="F7" s="28">
        <f>SUMIF(Bâtiments!I:I,A:A,Bâtiments!F:F)</f>
        <v>4426.4399993625284</v>
      </c>
    </row>
    <row r="8" spans="1:6">
      <c r="A8" s="83" t="s">
        <v>126</v>
      </c>
      <c r="B8" s="85"/>
      <c r="C8" s="33">
        <f>COUNTIF(Bâtiments!I:I,'Catégories de bâtiments'!A:A)</f>
        <v>1</v>
      </c>
      <c r="D8" s="46">
        <f>SUMIF(Bâtiments!I:I,'Catégories de bâtiments'!A:A,Bâtiments!D:D)</f>
        <v>1200</v>
      </c>
      <c r="E8" s="28">
        <f>SUMIF(Bâtiments!I:I,'Catégories de bâtiments'!A:A,Bâtiments!E:E)</f>
        <v>0</v>
      </c>
      <c r="F8" s="28">
        <f>SUMIF(Bâtiments!I:I,A:A,Bâtiments!F:F)</f>
        <v>0</v>
      </c>
    </row>
    <row r="9" spans="1:6">
      <c r="A9" s="83" t="s">
        <v>123</v>
      </c>
      <c r="B9" s="85"/>
      <c r="C9" s="33">
        <f>COUNTIF(Bâtiments!I:I,'Catégories de bâtiments'!A:A)</f>
        <v>0</v>
      </c>
      <c r="D9" s="46">
        <f>SUMIF(Bâtiments!I:I,'Catégories de bâtiments'!A:A,Bâtiments!D:D)</f>
        <v>0</v>
      </c>
      <c r="E9" s="28">
        <f>SUMIF(Bâtiments!I:I,'Catégories de bâtiments'!A:A,Bâtiments!E:E)</f>
        <v>0</v>
      </c>
      <c r="F9" s="28">
        <f>SUMIF(Bâtiments!I:I,A:A,Bâtiments!F:F)</f>
        <v>0</v>
      </c>
    </row>
    <row r="10" spans="1:6">
      <c r="A10" s="83" t="s">
        <v>173</v>
      </c>
      <c r="B10" s="85"/>
      <c r="C10" s="33">
        <f>SUMIF(Bâtiments!I:I,A:A)</f>
        <v>0</v>
      </c>
      <c r="D10" s="46">
        <f>SUMIF(Bâtiments!I:I,A:A,Bâtiments!D:D)</f>
        <v>5700</v>
      </c>
      <c r="E10" s="28">
        <f>SUMIF(Bâtiments!I:I,A:A,Bâtiments!E:E)</f>
        <v>19641.959998411534</v>
      </c>
      <c r="F10" s="28">
        <f>SUMIF(Bâtiments!I:I,A:A,Bâtiments!F:F)</f>
        <v>7364.8700000000008</v>
      </c>
    </row>
    <row r="11" spans="1:6">
      <c r="A11" s="83" t="s">
        <v>265</v>
      </c>
      <c r="B11" s="85"/>
      <c r="C11" s="33">
        <f>SUMIF(Bâtiments!I:I,A:A)</f>
        <v>0</v>
      </c>
      <c r="D11" s="46">
        <f>SUMIF(Bâtiments!I:I,A:A,Bâtiments!D:D)</f>
        <v>750</v>
      </c>
      <c r="E11" s="28">
        <f>SUMIF(Bâtiments!I:I,A:A,Bâtiments!E:E)</f>
        <v>0</v>
      </c>
      <c r="F11" s="28">
        <f>SUMIF(Bâtiments!I:I,A:A,Bâtiments!F:F)</f>
        <v>0</v>
      </c>
    </row>
    <row r="12" spans="1:6">
      <c r="A12" s="83" t="s">
        <v>124</v>
      </c>
      <c r="B12" s="85"/>
      <c r="C12" s="33">
        <f>COUNTIF(Bâtiments!I:I,'Catégories de bâtiments'!A:A)</f>
        <v>0</v>
      </c>
      <c r="D12" s="46">
        <f>SUMIF(Bâtiments!I:I,'Catégories de bâtiments'!A:A,Bâtiments!D:D)</f>
        <v>0</v>
      </c>
      <c r="E12" s="28">
        <f>SUMIF(Bâtiments!I:I,'Catégories de bâtiments'!A:A,Bâtiments!E:E)</f>
        <v>0</v>
      </c>
      <c r="F12" s="28">
        <f>SUMIF(Bâtiments!I:I,A:A,Bâtiments!F:F)</f>
        <v>0</v>
      </c>
    </row>
    <row r="13" spans="1:6">
      <c r="A13" s="83" t="s">
        <v>122</v>
      </c>
      <c r="B13" s="85"/>
      <c r="C13" s="33">
        <f>COUNTIF(Bâtiments!I:I,'Catégories de bâtiments'!A:A)</f>
        <v>0</v>
      </c>
      <c r="D13" s="46">
        <f>SUMIF(Bâtiments!I:I,'Catégories de bâtiments'!A:A,Bâtiments!D:D)</f>
        <v>0</v>
      </c>
      <c r="E13" s="28">
        <f>SUMIF(Bâtiments!I:I,'Catégories de bâtiments'!A:A,Bâtiments!E:E)</f>
        <v>0</v>
      </c>
      <c r="F13" s="28">
        <f>SUMIF(Bâtiments!I:I,A:A,Bâtiments!F:F)</f>
        <v>0</v>
      </c>
    </row>
    <row r="14" spans="1:6">
      <c r="A14" s="7"/>
      <c r="B14" s="21"/>
      <c r="C14" s="35"/>
      <c r="D14" s="47"/>
      <c r="E14" s="40"/>
      <c r="F14" s="40"/>
    </row>
  </sheetData>
  <sheetProtection sheet="1" objects="1" scenarios="1" selectLockedCells="1" sort="0" autoFilter="0" pivotTables="0"/>
  <autoFilter ref="A5:F13"/>
  <sortState ref="A6:F13">
    <sortCondition ref="A7"/>
  </sortState>
  <printOptions horizontalCentered="1"/>
  <pageMargins left="0.19685039370078741" right="0.19685039370078741" top="0.39370078740157483" bottom="0.39370078740157483" header="0.19685039370078741" footer="0.19685039370078741"/>
  <pageSetup paperSize="9" fitToHeight="0" orientation="landscape" verticalDpi="0" r:id="rId1"/>
  <headerFooter>
    <oddFooter>&amp;CPage &amp;P sur &amp;N - &amp;D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E11"/>
  <sheetViews>
    <sheetView workbookViewId="0">
      <pane ySplit="5" topLeftCell="A6" activePane="bottomLeft" state="frozen"/>
      <selection activeCell="B3" sqref="B3"/>
      <selection pane="bottomLeft" activeCell="A6" sqref="A6"/>
    </sheetView>
  </sheetViews>
  <sheetFormatPr baseColWidth="10" defaultRowHeight="12.75"/>
  <cols>
    <col min="1" max="1" width="41.28515625" customWidth="1"/>
    <col min="2" max="2" width="15.7109375" style="3" customWidth="1"/>
    <col min="4" max="4" width="13.5703125" customWidth="1"/>
    <col min="5" max="5" width="40.28515625" style="20" customWidth="1"/>
  </cols>
  <sheetData>
    <row r="1" spans="1:5" s="76" customFormat="1" ht="30" customHeight="1">
      <c r="A1" s="146" t="str">
        <f>Collectivité&amp;" - "&amp;Service&amp;" - Fichier des services"</f>
        <v>Ville d'Excel-les-Bains - Patrimoine bâti - Fichier des services</v>
      </c>
      <c r="B1" s="113"/>
      <c r="C1" s="159"/>
      <c r="D1" s="113"/>
      <c r="E1" s="158"/>
    </row>
    <row r="2" spans="1:5" ht="15.75">
      <c r="A2" s="160"/>
      <c r="B2" s="120"/>
      <c r="C2" s="161"/>
      <c r="D2" s="120"/>
      <c r="E2" s="162"/>
    </row>
    <row r="3" spans="1:5" ht="15.75">
      <c r="A3" s="160"/>
      <c r="B3" s="163">
        <f>SUBTOTAL(9,B5:B11)</f>
        <v>5</v>
      </c>
      <c r="C3" s="163">
        <f>SUBTOTAL(9,C5:C11)</f>
        <v>5</v>
      </c>
      <c r="D3" s="149">
        <f>SUBTOTAL(9,D5:D11)</f>
        <v>18271.740001035632</v>
      </c>
      <c r="E3" s="162"/>
    </row>
    <row r="4" spans="1:5">
      <c r="A4" s="117"/>
      <c r="B4" s="120"/>
      <c r="C4" s="161"/>
      <c r="D4" s="120"/>
      <c r="E4" s="162"/>
    </row>
    <row r="5" spans="1:5" s="1" customFormat="1" ht="32.25" customHeight="1">
      <c r="A5" s="4" t="s">
        <v>34</v>
      </c>
      <c r="B5" s="4" t="s">
        <v>115</v>
      </c>
      <c r="C5" s="34" t="s">
        <v>9</v>
      </c>
      <c r="D5" s="4" t="s">
        <v>110</v>
      </c>
      <c r="E5" s="19" t="s">
        <v>18</v>
      </c>
    </row>
    <row r="6" spans="1:5">
      <c r="A6" s="83" t="s">
        <v>272</v>
      </c>
      <c r="B6" s="54">
        <f>COUNTIF(Agents!F:F,Services!A:A)</f>
        <v>1</v>
      </c>
      <c r="C6" s="54">
        <f>COUNTIF('Entêtes commandes'!H:H,A:A)</f>
        <v>0</v>
      </c>
      <c r="D6" s="32">
        <f>SUMIF('Entêtes commandes'!H:H,A:A,'Entêtes commandes'!G:G)</f>
        <v>0</v>
      </c>
      <c r="E6" s="92"/>
    </row>
    <row r="7" spans="1:5">
      <c r="A7" s="83" t="s">
        <v>116</v>
      </c>
      <c r="B7" s="54">
        <f>COUNTIF(Agents!F:F,Services!A:A)</f>
        <v>2</v>
      </c>
      <c r="C7" s="54">
        <f>COUNTIF('Entêtes commandes'!H:H,A:A)</f>
        <v>2</v>
      </c>
      <c r="D7" s="32">
        <f>SUMIF('Entêtes commandes'!H:H,A:A,'Entêtes commandes'!G:G)</f>
        <v>1549.440001180172</v>
      </c>
      <c r="E7" s="92"/>
    </row>
    <row r="8" spans="1:5">
      <c r="A8" s="83" t="s">
        <v>117</v>
      </c>
      <c r="B8" s="54">
        <f>COUNTIF(Agents!F:F,Services!A:A)</f>
        <v>0</v>
      </c>
      <c r="C8" s="54">
        <f>COUNTIF('Entêtes commandes'!H:H,A:A)</f>
        <v>0</v>
      </c>
      <c r="D8" s="32">
        <f>SUMIF('Entêtes commandes'!H:H,A:A,'Entêtes commandes'!G:G)</f>
        <v>0</v>
      </c>
      <c r="E8" s="92"/>
    </row>
    <row r="9" spans="1:5">
      <c r="A9" s="83" t="s">
        <v>118</v>
      </c>
      <c r="B9" s="54">
        <f>COUNTIF(Agents!F:F,Services!A:A)</f>
        <v>0</v>
      </c>
      <c r="C9" s="54">
        <f>COUNTIF('Entêtes commandes'!H:H,A:A)</f>
        <v>0</v>
      </c>
      <c r="D9" s="32">
        <f>SUMIF('Entêtes commandes'!H:H,A:A,'Entêtes commandes'!G:G)</f>
        <v>0</v>
      </c>
      <c r="E9" s="92"/>
    </row>
    <row r="10" spans="1:5">
      <c r="A10" s="83" t="s">
        <v>119</v>
      </c>
      <c r="B10" s="54">
        <f>COUNTIF(Agents!F:F,Services!A:A)</f>
        <v>2</v>
      </c>
      <c r="C10" s="54">
        <f>COUNTIF('Entêtes commandes'!H:H,A:A)</f>
        <v>3</v>
      </c>
      <c r="D10" s="32">
        <f>SUMIF('Entêtes commandes'!H:H,A:A,'Entêtes commandes'!G:G)</f>
        <v>16722.299999855459</v>
      </c>
      <c r="E10" s="92"/>
    </row>
    <row r="11" spans="1:5">
      <c r="A11" s="7"/>
      <c r="B11" s="8"/>
      <c r="C11" s="35"/>
      <c r="D11" s="8"/>
      <c r="E11" s="21"/>
    </row>
  </sheetData>
  <sheetProtection sheet="1" objects="1" scenarios="1" selectLockedCells="1" sort="0" autoFilter="0" pivotTables="0"/>
  <autoFilter ref="A5:E10"/>
  <sortState ref="A6:E10">
    <sortCondition ref="E5"/>
  </sortState>
  <printOptions horizontalCentered="1"/>
  <pageMargins left="0.19685039370078741" right="0.19685039370078741" top="0.39370078740157483" bottom="0.39370078740157483" header="0.19685039370078741" footer="0.19685039370078741"/>
  <pageSetup paperSize="9" fitToHeight="0" orientation="landscape" r:id="rId1"/>
  <headerFooter>
    <oddFooter>&amp;CPage &amp;P sur &amp;N - &amp;D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G13"/>
  <sheetViews>
    <sheetView workbookViewId="0">
      <pane ySplit="5" topLeftCell="A6" activePane="bottomLeft" state="frozen"/>
      <selection activeCell="B3" sqref="B3"/>
      <selection pane="bottomLeft" activeCell="B9" sqref="B9"/>
    </sheetView>
  </sheetViews>
  <sheetFormatPr baseColWidth="10" defaultRowHeight="12.75"/>
  <cols>
    <col min="1" max="1" width="25" customWidth="1"/>
    <col min="2" max="2" width="22" style="55" customWidth="1"/>
    <col min="3" max="3" width="10.28515625" style="52" bestFit="1" customWidth="1"/>
    <col min="4" max="4" width="14.140625" customWidth="1"/>
    <col min="5" max="6" width="15.7109375" customWidth="1"/>
    <col min="7" max="7" width="36.85546875" customWidth="1"/>
  </cols>
  <sheetData>
    <row r="1" spans="1:7" s="76" customFormat="1" ht="30" customHeight="1">
      <c r="A1" s="146" t="str">
        <f>Collectivité&amp;" - "&amp;Service&amp;" - Fichier des fluides et énergies"</f>
        <v>Ville d'Excel-les-Bains - Patrimoine bâti - Fichier des fluides et énergies</v>
      </c>
      <c r="B1" s="155"/>
      <c r="C1" s="159"/>
      <c r="D1" s="113"/>
      <c r="E1" s="113"/>
      <c r="F1" s="113"/>
      <c r="G1" s="158"/>
    </row>
    <row r="2" spans="1:7" ht="20.25" customHeight="1">
      <c r="A2" s="160"/>
      <c r="B2" s="170"/>
      <c r="C2" s="171"/>
      <c r="D2" s="120"/>
      <c r="E2" s="120"/>
      <c r="F2" s="120"/>
      <c r="G2" s="162"/>
    </row>
    <row r="3" spans="1:7" ht="15.75">
      <c r="A3" s="160"/>
      <c r="B3" s="172">
        <f>SUBTOTAL(9,B5:B13)</f>
        <v>0</v>
      </c>
      <c r="C3" s="173"/>
      <c r="D3" s="163">
        <f>SUBTOTAL(9,D5:D13)</f>
        <v>14</v>
      </c>
      <c r="E3" s="149">
        <f>SUBTOTAL(9,E5:E13)</f>
        <v>11791.309999362526</v>
      </c>
      <c r="F3" s="174">
        <f>SUBTOTAL(9,F5:F13)</f>
        <v>1920</v>
      </c>
      <c r="G3" s="162"/>
    </row>
    <row r="4" spans="1:7" ht="9" customHeight="1">
      <c r="A4" s="117"/>
      <c r="B4" s="170"/>
      <c r="C4" s="171"/>
      <c r="D4" s="120"/>
      <c r="E4" s="120"/>
      <c r="F4" s="120"/>
      <c r="G4" s="162"/>
    </row>
    <row r="5" spans="1:7" s="1" customFormat="1" ht="43.5" customHeight="1">
      <c r="A5" s="19" t="s">
        <v>34</v>
      </c>
      <c r="B5" s="59" t="s">
        <v>135</v>
      </c>
      <c r="C5" s="34" t="s">
        <v>149</v>
      </c>
      <c r="D5" s="4" t="s">
        <v>160</v>
      </c>
      <c r="E5" s="4" t="s">
        <v>134</v>
      </c>
      <c r="F5" s="4" t="s">
        <v>161</v>
      </c>
      <c r="G5" s="19" t="s">
        <v>18</v>
      </c>
    </row>
    <row r="6" spans="1:7">
      <c r="A6" s="83" t="s">
        <v>272</v>
      </c>
      <c r="B6" s="93" t="s">
        <v>273</v>
      </c>
      <c r="C6" s="94"/>
      <c r="D6" s="54">
        <f>IF(ISTEXT(A6), COUNTIF('Points de consommation'!C:C,A:A),"")</f>
        <v>0</v>
      </c>
      <c r="E6" s="32">
        <f>IF(ISTEXT(A6), SUMIF('Points de consommation'!C:C,A:A,'Points de consommation'!E:E),"")</f>
        <v>0</v>
      </c>
      <c r="F6" s="67">
        <f>IF(ISTEXT(A6),SUMIF('Points de consommation'!C:C,A:A,'Points de consommation'!F:F),"")</f>
        <v>0</v>
      </c>
      <c r="G6" s="86"/>
    </row>
    <row r="7" spans="1:7">
      <c r="A7" s="83" t="s">
        <v>131</v>
      </c>
      <c r="B7" s="93" t="s">
        <v>159</v>
      </c>
      <c r="C7" s="94" t="s">
        <v>151</v>
      </c>
      <c r="D7" s="54">
        <f>IF(ISTEXT(A7), COUNTIF('Points de consommation'!C:C,A:A),"")</f>
        <v>1</v>
      </c>
      <c r="E7" s="32">
        <f>IF(ISTEXT(A7), SUMIF('Points de consommation'!C:C,A:A,'Points de consommation'!E:E),"")</f>
        <v>269.76</v>
      </c>
      <c r="F7" s="67">
        <f>IF(ISTEXT(A7),SUMIF('Points de consommation'!C:C,A:A,'Points de consommation'!F:F),"")</f>
        <v>100</v>
      </c>
      <c r="G7" s="86"/>
    </row>
    <row r="8" spans="1:7">
      <c r="A8" s="83" t="s">
        <v>128</v>
      </c>
      <c r="B8" s="93" t="s">
        <v>136</v>
      </c>
      <c r="C8" s="94" t="s">
        <v>150</v>
      </c>
      <c r="D8" s="54">
        <f>IF(ISTEXT(A8),COUNTIF('Points de consommation'!C:C,A:A),"")</f>
        <v>3</v>
      </c>
      <c r="E8" s="32">
        <f>IF(ISTEXT(A8),SUMIF('Points de consommation'!C:C,A:A,'Points de consommation'!E:E),"")</f>
        <v>9514.0049993625271</v>
      </c>
      <c r="F8" s="67">
        <f>IF(ISTEXT(A8),SUMIF('Points de consommation'!C:C,A:A,'Points de consommation'!F:F),"")</f>
        <v>1520</v>
      </c>
      <c r="G8" s="86"/>
    </row>
    <row r="9" spans="1:7">
      <c r="A9" s="83" t="s">
        <v>130</v>
      </c>
      <c r="B9" s="93" t="s">
        <v>136</v>
      </c>
      <c r="C9" s="94" t="s">
        <v>152</v>
      </c>
      <c r="D9" s="54">
        <f>IF(ISTEXT(A9), COUNTIF('Points de consommation'!C:C,A:A),"")</f>
        <v>2</v>
      </c>
      <c r="E9" s="32">
        <f>IF(ISTEXT(A9), SUMIF('Points de consommation'!C:C,A:A,'Points de consommation'!E:E),"")</f>
        <v>129.76499999999999</v>
      </c>
      <c r="F9" s="67">
        <f>IF(ISTEXT(A9),SUMIF('Points de consommation'!C:C,A:A,'Points de consommation'!F:F),"")</f>
        <v>100</v>
      </c>
      <c r="G9" s="86"/>
    </row>
    <row r="10" spans="1:7">
      <c r="A10" s="83" t="s">
        <v>129</v>
      </c>
      <c r="B10" s="93" t="s">
        <v>136</v>
      </c>
      <c r="C10" s="94" t="s">
        <v>151</v>
      </c>
      <c r="D10" s="54">
        <f>IF(ISTEXT(A10),COUNTIF('Points de consommation'!C:C,A:A),"")</f>
        <v>2</v>
      </c>
      <c r="E10" s="32">
        <f>IF(ISTEXT(A10),SUMIF('Points de consommation'!C:C,A:A,'Points de consommation'!E:E),"")</f>
        <v>1351.06</v>
      </c>
      <c r="F10" s="67">
        <f>IF(ISTEXT(A10),SUMIF('Points de consommation'!C:C,A:A,'Points de consommation'!F:F),"")</f>
        <v>200</v>
      </c>
      <c r="G10" s="86"/>
    </row>
    <row r="11" spans="1:7">
      <c r="A11" s="83" t="s">
        <v>133</v>
      </c>
      <c r="B11" s="93" t="s">
        <v>136</v>
      </c>
      <c r="C11" s="94"/>
      <c r="D11" s="54">
        <f>IF(ISTEXT(A11),COUNTIF('Points de consommation'!C:C,A:A),"")</f>
        <v>3</v>
      </c>
      <c r="E11" s="32">
        <f>IF(ISTEXT(A11),SUMIF('Points de consommation'!C:C,A:A,'Points de consommation'!E:E),"")</f>
        <v>150.71999999999997</v>
      </c>
      <c r="F11" s="67">
        <f>IF(ISTEXT(A11),SUMIF('Points de consommation'!C:C,A:A,'Points de consommation'!F:F),"")</f>
        <v>0</v>
      </c>
      <c r="G11" s="86"/>
    </row>
    <row r="12" spans="1:7">
      <c r="A12" s="83" t="s">
        <v>132</v>
      </c>
      <c r="B12" s="93" t="s">
        <v>137</v>
      </c>
      <c r="C12" s="94"/>
      <c r="D12" s="54">
        <f>IF(ISTEXT(A12),COUNTIF('Points de consommation'!C:C,A:A),"")</f>
        <v>3</v>
      </c>
      <c r="E12" s="32">
        <f>IF(ISTEXT(A12),SUMIF('Points de consommation'!C:C,A:A,'Points de consommation'!E:E),"")</f>
        <v>376</v>
      </c>
      <c r="F12" s="67">
        <f>IF(ISTEXT(A12),SUMIF('Points de consommation'!C:C,A:A,'Points de consommation'!F:F),"")</f>
        <v>0</v>
      </c>
      <c r="G12" s="86"/>
    </row>
    <row r="13" spans="1:7">
      <c r="A13" s="7"/>
      <c r="B13" s="60"/>
      <c r="C13" s="73"/>
      <c r="D13" s="8"/>
      <c r="E13" s="8"/>
      <c r="F13" s="8"/>
      <c r="G13" s="21"/>
    </row>
  </sheetData>
  <sheetProtection sheet="1" objects="1" scenarios="1" selectLockedCells="1" sort="0" autoFilter="0" pivotTables="0"/>
  <autoFilter ref="A5:G12">
    <filterColumn colId="2"/>
    <filterColumn colId="5"/>
  </autoFilter>
  <sortState ref="A6:G12">
    <sortCondition ref="A9"/>
  </sortState>
  <conditionalFormatting sqref="B7:B12">
    <cfRule type="expression" dxfId="9" priority="4">
      <formula>AND(ISERROR(VLOOKUP(B7,Liste_Périodicités,1,FALSE)),LEN(B7)&gt;0)</formula>
    </cfRule>
  </conditionalFormatting>
  <conditionalFormatting sqref="B6">
    <cfRule type="expression" dxfId="8" priority="1">
      <formula>AND(ISERROR(VLOOKUP(B6,Liste_Périodicités,1,FALSE)),LEN(B6)&gt;0)</formula>
    </cfRule>
  </conditionalFormatting>
  <dataValidations count="1">
    <dataValidation type="list" allowBlank="1" showInputMessage="1" showErrorMessage="1" sqref="B6:B12">
      <formula1>Liste_Périodicités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fitToHeight="0" orientation="landscape" verticalDpi="0" r:id="rId1"/>
  <headerFooter>
    <oddFooter>&amp;CPage &amp;P sur &amp;N - &amp;D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H20"/>
  <sheetViews>
    <sheetView workbookViewId="0">
      <pane ySplit="5" topLeftCell="A6" activePane="bottomLeft" state="frozen"/>
      <selection activeCell="B3" sqref="B3"/>
      <selection pane="bottomLeft" activeCell="A11" sqref="A11"/>
    </sheetView>
  </sheetViews>
  <sheetFormatPr baseColWidth="10" defaultRowHeight="12.75"/>
  <cols>
    <col min="1" max="1" width="15.5703125" customWidth="1"/>
    <col min="2" max="2" width="38.85546875" customWidth="1"/>
    <col min="3" max="3" width="28.42578125" style="20" customWidth="1"/>
    <col min="4" max="4" width="15.5703125" customWidth="1"/>
    <col min="5" max="5" width="13.85546875" customWidth="1"/>
    <col min="6" max="6" width="13.85546875" style="69" customWidth="1"/>
    <col min="7" max="7" width="13.85546875" customWidth="1"/>
    <col min="8" max="8" width="30.85546875" customWidth="1"/>
  </cols>
  <sheetData>
    <row r="1" spans="1:8" s="76" customFormat="1" ht="30" customHeight="1">
      <c r="A1" s="146" t="str">
        <f>Collectivité&amp;" - "&amp;Service&amp;" - Fichier des points de consommation en fluides et énergies"</f>
        <v>Ville d'Excel-les-Bains - Patrimoine bâti - Fichier des points de consommation en fluides et énergies</v>
      </c>
      <c r="B1" s="112"/>
      <c r="C1" s="158"/>
      <c r="D1" s="155"/>
      <c r="E1" s="113"/>
      <c r="F1" s="175"/>
      <c r="G1" s="113"/>
      <c r="H1" s="158"/>
    </row>
    <row r="2" spans="1:8" ht="15.75" customHeight="1">
      <c r="A2" s="170"/>
      <c r="B2" s="160"/>
      <c r="C2" s="162"/>
      <c r="D2" s="170"/>
      <c r="E2" s="120"/>
      <c r="F2" s="174"/>
      <c r="G2" s="120"/>
      <c r="H2" s="162"/>
    </row>
    <row r="3" spans="1:8" ht="15.75">
      <c r="A3" s="172"/>
      <c r="B3" s="160"/>
      <c r="C3" s="163" t="str">
        <f>SUBTOTAL(3,C5:C20)&amp;" points"</f>
        <v>15 points</v>
      </c>
      <c r="D3" s="172"/>
      <c r="E3" s="149">
        <f>SUBTOTAL(9,E5:E20)</f>
        <v>11791.309999362527</v>
      </c>
      <c r="F3" s="174">
        <f>SUBTOTAL(9,F5:F20)</f>
        <v>1920</v>
      </c>
      <c r="G3" s="149"/>
      <c r="H3" s="162"/>
    </row>
    <row r="4" spans="1:8">
      <c r="A4" s="170"/>
      <c r="B4" s="117"/>
      <c r="C4" s="162"/>
      <c r="D4" s="170"/>
      <c r="E4" s="120"/>
      <c r="F4" s="174"/>
      <c r="G4" s="120"/>
      <c r="H4" s="162"/>
    </row>
    <row r="5" spans="1:8" ht="30.75" customHeight="1">
      <c r="A5" s="59" t="s">
        <v>178</v>
      </c>
      <c r="B5" s="19" t="s">
        <v>138</v>
      </c>
      <c r="C5" s="19" t="s">
        <v>141</v>
      </c>
      <c r="D5" s="59" t="s">
        <v>135</v>
      </c>
      <c r="E5" s="4" t="s">
        <v>134</v>
      </c>
      <c r="F5" s="66" t="s">
        <v>161</v>
      </c>
      <c r="G5" s="4" t="s">
        <v>162</v>
      </c>
      <c r="H5" s="19" t="s">
        <v>18</v>
      </c>
    </row>
    <row r="6" spans="1:8">
      <c r="A6" s="93">
        <v>100</v>
      </c>
      <c r="B6" s="83" t="s">
        <v>139</v>
      </c>
      <c r="C6" s="95" t="s">
        <v>128</v>
      </c>
      <c r="D6" s="58" t="str">
        <f t="shared" ref="D6:D19" si="0">IF(ISTEXT(VLOOKUP(C6,Energies,2,FALSE)),VLOOKUP(C6,Energies,2,FALSE),"")</f>
        <v>Mensuelle</v>
      </c>
      <c r="E6" s="32">
        <f>SUMIF('Factures Fluides et Energies'!A:A,'Points de consommation'!A:A,'Factures Fluides et Energies'!R:R)</f>
        <v>3687.879999362528</v>
      </c>
      <c r="F6" s="67">
        <f>SUMIF('Factures Fluides et Energies'!A:A,'Points de consommation'!A:A,'Factures Fluides et Energies'!K:K)</f>
        <v>620</v>
      </c>
      <c r="G6" s="32" t="str">
        <f t="shared" ref="G6:G19" si="1">IF(ISTEXT(VLOOKUP(C6,Energies,3,FALSE)),VLOOKUP(C6,Energies,3,FALSE),"")</f>
        <v>kw/h</v>
      </c>
      <c r="H6" s="86"/>
    </row>
    <row r="7" spans="1:8">
      <c r="A7" s="93">
        <v>101</v>
      </c>
      <c r="B7" s="83" t="s">
        <v>139</v>
      </c>
      <c r="C7" s="95" t="s">
        <v>129</v>
      </c>
      <c r="D7" s="58" t="str">
        <f t="shared" si="0"/>
        <v>Mensuelle</v>
      </c>
      <c r="E7" s="32">
        <f>SUMIF('Factures Fluides et Energies'!A:A,'Points de consommation'!A:A,'Factures Fluides et Energies'!R:R)</f>
        <v>547.6</v>
      </c>
      <c r="F7" s="67">
        <f>SUMIF('Factures Fluides et Energies'!A:A,'Points de consommation'!A:A,'Factures Fluides et Energies'!K:K)</f>
        <v>100</v>
      </c>
      <c r="G7" s="32" t="str">
        <f t="shared" si="1"/>
        <v>m3</v>
      </c>
      <c r="H7" s="86"/>
    </row>
    <row r="8" spans="1:8">
      <c r="A8" s="93">
        <v>102</v>
      </c>
      <c r="B8" s="83" t="s">
        <v>139</v>
      </c>
      <c r="C8" s="95" t="s">
        <v>133</v>
      </c>
      <c r="D8" s="58" t="str">
        <f t="shared" si="0"/>
        <v>Mensuelle</v>
      </c>
      <c r="E8" s="32">
        <f>SUMIF('Factures Fluides et Energies'!A:A,'Points de consommation'!A:A,'Factures Fluides et Energies'!R:R)</f>
        <v>54.959999999999994</v>
      </c>
      <c r="F8" s="67">
        <f>SUMIF('Factures Fluides et Energies'!A:A,'Points de consommation'!A:A,'Factures Fluides et Energies'!K:K)</f>
        <v>0</v>
      </c>
      <c r="G8" s="32" t="str">
        <f t="shared" si="1"/>
        <v/>
      </c>
      <c r="H8" s="86"/>
    </row>
    <row r="9" spans="1:8">
      <c r="A9" s="93">
        <v>103</v>
      </c>
      <c r="B9" s="83" t="s">
        <v>139</v>
      </c>
      <c r="C9" s="95" t="s">
        <v>132</v>
      </c>
      <c r="D9" s="58" t="str">
        <f t="shared" si="0"/>
        <v>Bi-mensuelle</v>
      </c>
      <c r="E9" s="32">
        <f>SUMIF('Factures Fluides et Energies'!A:A,'Points de consommation'!A:A,'Factures Fluides et Energies'!R:R)</f>
        <v>136</v>
      </c>
      <c r="F9" s="67">
        <f>SUMIF('Factures Fluides et Energies'!A:A,'Points de consommation'!A:A,'Factures Fluides et Energies'!K:K)</f>
        <v>0</v>
      </c>
      <c r="G9" s="32" t="str">
        <f t="shared" si="1"/>
        <v/>
      </c>
      <c r="H9" s="86"/>
    </row>
    <row r="10" spans="1:8">
      <c r="A10" s="93">
        <v>104</v>
      </c>
      <c r="B10" s="83" t="s">
        <v>97</v>
      </c>
      <c r="C10" s="95" t="s">
        <v>128</v>
      </c>
      <c r="D10" s="58" t="str">
        <f t="shared" si="0"/>
        <v>Mensuelle</v>
      </c>
      <c r="E10" s="32">
        <f>SUMIF('Factures Fluides et Energies'!A:A,A:A,'Factures Fluides et Energies'!R:R)</f>
        <v>3004.3199999999997</v>
      </c>
      <c r="F10" s="67">
        <f>SUMIF('Factures Fluides et Energies'!A:A,A:A,'Factures Fluides et Energies'!K:K)</f>
        <v>450</v>
      </c>
      <c r="G10" s="32" t="str">
        <f t="shared" si="1"/>
        <v>kw/h</v>
      </c>
      <c r="H10" s="86"/>
    </row>
    <row r="11" spans="1:8">
      <c r="A11" s="93">
        <v>105</v>
      </c>
      <c r="B11" s="83" t="s">
        <v>97</v>
      </c>
      <c r="C11" s="95" t="s">
        <v>133</v>
      </c>
      <c r="D11" s="58" t="str">
        <f t="shared" si="0"/>
        <v>Mensuelle</v>
      </c>
      <c r="E11" s="32">
        <f>SUMIF('Factures Fluides et Energies'!A:A,A:A,'Factures Fluides et Energies'!R:R)</f>
        <v>47.879999999999995</v>
      </c>
      <c r="F11" s="67">
        <f>SUMIF('Factures Fluides et Energies'!A:A,A:A,'Factures Fluides et Energies'!K:K)</f>
        <v>0</v>
      </c>
      <c r="G11" s="32" t="str">
        <f t="shared" si="1"/>
        <v/>
      </c>
      <c r="H11" s="86"/>
    </row>
    <row r="12" spans="1:8">
      <c r="A12" s="93">
        <v>106</v>
      </c>
      <c r="B12" s="83" t="s">
        <v>97</v>
      </c>
      <c r="C12" s="95" t="s">
        <v>129</v>
      </c>
      <c r="D12" s="58" t="str">
        <f t="shared" si="0"/>
        <v>Mensuelle</v>
      </c>
      <c r="E12" s="32">
        <f>SUMIF('Factures Fluides et Energies'!A:A,'Points de consommation'!A:A,'Factures Fluides et Energies'!R:R)</f>
        <v>803.46</v>
      </c>
      <c r="F12" s="67">
        <f>SUMIF('Factures Fluides et Energies'!A:A,'Points de consommation'!A:A,'Factures Fluides et Energies'!K:K)</f>
        <v>100</v>
      </c>
      <c r="G12" s="32" t="str">
        <f t="shared" si="1"/>
        <v>m3</v>
      </c>
      <c r="H12" s="86"/>
    </row>
    <row r="13" spans="1:8">
      <c r="A13" s="93">
        <v>107</v>
      </c>
      <c r="B13" s="83" t="s">
        <v>97</v>
      </c>
      <c r="C13" s="95" t="s">
        <v>131</v>
      </c>
      <c r="D13" s="58" t="str">
        <f t="shared" si="0"/>
        <v>Semestrielle</v>
      </c>
      <c r="E13" s="32">
        <f>SUMIF('Factures Fluides et Energies'!A:A,'Points de consommation'!A:A,'Factures Fluides et Energies'!R:R)</f>
        <v>269.76</v>
      </c>
      <c r="F13" s="67">
        <f>SUMIF('Factures Fluides et Energies'!A:A,'Points de consommation'!A:A,'Factures Fluides et Energies'!K:K)</f>
        <v>100</v>
      </c>
      <c r="G13" s="32" t="str">
        <f t="shared" si="1"/>
        <v>m3</v>
      </c>
      <c r="H13" s="86"/>
    </row>
    <row r="14" spans="1:8">
      <c r="A14" s="93">
        <v>108</v>
      </c>
      <c r="B14" s="83" t="s">
        <v>97</v>
      </c>
      <c r="C14" s="95" t="s">
        <v>132</v>
      </c>
      <c r="D14" s="58" t="str">
        <f t="shared" si="0"/>
        <v>Bi-mensuelle</v>
      </c>
      <c r="E14" s="32">
        <f>SUMIF('Factures Fluides et Energies'!A:A,'Points de consommation'!A:A,'Factures Fluides et Energies'!R:R)</f>
        <v>123.6</v>
      </c>
      <c r="F14" s="67">
        <f>SUMIF('Factures Fluides et Energies'!A:A,'Points de consommation'!A:A,'Factures Fluides et Energies'!K:K)</f>
        <v>0</v>
      </c>
      <c r="G14" s="32" t="str">
        <f t="shared" si="1"/>
        <v/>
      </c>
      <c r="H14" s="86"/>
    </row>
    <row r="15" spans="1:8">
      <c r="A15" s="93">
        <v>109</v>
      </c>
      <c r="B15" s="83" t="s">
        <v>140</v>
      </c>
      <c r="C15" s="95" t="s">
        <v>128</v>
      </c>
      <c r="D15" s="58" t="str">
        <f t="shared" si="0"/>
        <v>Mensuelle</v>
      </c>
      <c r="E15" s="32">
        <f>SUMIF('Factures Fluides et Energies'!A:A,'Points de consommation'!A:A,'Factures Fluides et Energies'!R:R)</f>
        <v>2821.8049999999998</v>
      </c>
      <c r="F15" s="67">
        <f>SUMIF('Factures Fluides et Energies'!A:A,'Points de consommation'!A:A,'Factures Fluides et Energies'!K:K)</f>
        <v>450</v>
      </c>
      <c r="G15" s="32" t="str">
        <f t="shared" si="1"/>
        <v>kw/h</v>
      </c>
      <c r="H15" s="86"/>
    </row>
    <row r="16" spans="1:8">
      <c r="A16" s="93">
        <v>110</v>
      </c>
      <c r="B16" s="83" t="s">
        <v>140</v>
      </c>
      <c r="C16" s="95" t="s">
        <v>130</v>
      </c>
      <c r="D16" s="58" t="str">
        <f t="shared" si="0"/>
        <v>Mensuelle</v>
      </c>
      <c r="E16" s="32">
        <f>SUMIF('Factures Fluides et Energies'!A:A,'Points de consommation'!A:A,'Factures Fluides et Energies'!R:R)</f>
        <v>129.76499999999999</v>
      </c>
      <c r="F16" s="67">
        <f>SUMIF('Factures Fluides et Energies'!A:A,'Points de consommation'!A:A,'Factures Fluides et Energies'!K:K)</f>
        <v>100</v>
      </c>
      <c r="G16" s="32" t="str">
        <f t="shared" si="1"/>
        <v>litres</v>
      </c>
      <c r="H16" s="86"/>
    </row>
    <row r="17" spans="1:8">
      <c r="A17" s="93">
        <v>111</v>
      </c>
      <c r="B17" s="83" t="s">
        <v>140</v>
      </c>
      <c r="C17" s="95" t="s">
        <v>133</v>
      </c>
      <c r="D17" s="58" t="str">
        <f t="shared" si="0"/>
        <v>Mensuelle</v>
      </c>
      <c r="E17" s="32">
        <f>SUMIF('Factures Fluides et Energies'!A:A,'Points de consommation'!A:A,'Factures Fluides et Energies'!R:R)</f>
        <v>47.879999999999995</v>
      </c>
      <c r="F17" s="67">
        <f>SUMIF('Factures Fluides et Energies'!A:A,'Points de consommation'!A:A,'Factures Fluides et Energies'!K:K)</f>
        <v>0</v>
      </c>
      <c r="G17" s="32" t="str">
        <f t="shared" si="1"/>
        <v/>
      </c>
      <c r="H17" s="86"/>
    </row>
    <row r="18" spans="1:8">
      <c r="A18" s="93">
        <v>112</v>
      </c>
      <c r="B18" s="83" t="s">
        <v>140</v>
      </c>
      <c r="C18" s="95" t="s">
        <v>132</v>
      </c>
      <c r="D18" s="58" t="str">
        <f t="shared" si="0"/>
        <v>Bi-mensuelle</v>
      </c>
      <c r="E18" s="32">
        <f>SUMIF('Factures Fluides et Energies'!A:A,'Points de consommation'!A:A,'Factures Fluides et Energies'!R:R)</f>
        <v>116.39999999999999</v>
      </c>
      <c r="F18" s="67">
        <f>SUMIF('Factures Fluides et Energies'!A:A,'Points de consommation'!A:A,'Factures Fluides et Energies'!K:K)</f>
        <v>0</v>
      </c>
      <c r="G18" s="32" t="str">
        <f t="shared" si="1"/>
        <v/>
      </c>
      <c r="H18" s="86"/>
    </row>
    <row r="19" spans="1:8">
      <c r="A19" s="93">
        <v>113</v>
      </c>
      <c r="B19" s="83" t="s">
        <v>139</v>
      </c>
      <c r="C19" s="95" t="s">
        <v>130</v>
      </c>
      <c r="D19" s="58" t="str">
        <f t="shared" si="0"/>
        <v>Mensuelle</v>
      </c>
      <c r="E19" s="32">
        <f>SUMIF('Factures Fluides et Energies'!A:A,A:A,'Factures Fluides et Energies'!R:R)</f>
        <v>0</v>
      </c>
      <c r="F19" s="67">
        <f>SUMIF('Factures Fluides et Energies'!A:A,A:A,'Factures Fluides et Energies'!K:K)</f>
        <v>0</v>
      </c>
      <c r="G19" s="32" t="str">
        <f t="shared" si="1"/>
        <v>litres</v>
      </c>
      <c r="H19" s="86" t="s">
        <v>264</v>
      </c>
    </row>
    <row r="20" spans="1:8">
      <c r="A20" s="60"/>
      <c r="B20" s="7"/>
      <c r="C20" s="21"/>
      <c r="D20" s="60"/>
      <c r="E20" s="8"/>
      <c r="F20" s="68"/>
      <c r="G20" s="8"/>
      <c r="H20" s="21"/>
    </row>
  </sheetData>
  <sheetProtection sheet="1" objects="1" scenarios="1" selectLockedCells="1" sort="0" autoFilter="0" pivotTables="0"/>
  <autoFilter ref="A5:H19">
    <filterColumn colId="5"/>
    <filterColumn colId="6"/>
    <sortState ref="A6:F18">
      <sortCondition ref="B6:B18"/>
      <sortCondition ref="C6:C18"/>
    </sortState>
  </autoFilter>
  <sortState ref="A6:H19">
    <sortCondition ref="A11"/>
  </sortState>
  <conditionalFormatting sqref="B7:B19">
    <cfRule type="expression" dxfId="7" priority="6">
      <formula>AND(ISERROR(VLOOKUP(B7,Liste_Bâtiments,1,FALSE)),LEN(B7)&gt;0)</formula>
    </cfRule>
  </conditionalFormatting>
  <conditionalFormatting sqref="C7:C19">
    <cfRule type="expression" dxfId="6" priority="5">
      <formula>AND(ISERROR(VLOOKUP(C7,Liste_Energies,1,FALSE)),LEN(C7)&gt;0)</formula>
    </cfRule>
  </conditionalFormatting>
  <conditionalFormatting sqref="B6">
    <cfRule type="expression" dxfId="5" priority="2">
      <formula>AND(ISERROR(VLOOKUP(B6,Liste_Bâtiments,1,FALSE)),LEN(B6)&gt;0)</formula>
    </cfRule>
  </conditionalFormatting>
  <conditionalFormatting sqref="C6">
    <cfRule type="expression" dxfId="4" priority="1">
      <formula>AND(ISERROR(VLOOKUP(C6,Liste_Energies,1,FALSE)),LEN(C6)&gt;0)</formula>
    </cfRule>
  </conditionalFormatting>
  <dataValidations count="2">
    <dataValidation type="list" allowBlank="1" showInputMessage="1" showErrorMessage="1" sqref="B6:B19">
      <formula1>Liste_Bâtiments</formula1>
    </dataValidation>
    <dataValidation type="list" allowBlank="1" showInputMessage="1" showErrorMessage="1" sqref="C6:C19">
      <formula1>Liste_Energies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scale="85" fitToHeight="0" orientation="landscape" verticalDpi="0" r:id="rId1"/>
  <headerFooter>
    <oddFooter>&amp;CPage &amp;P sur &amp;N - &amp;D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H13"/>
  <sheetViews>
    <sheetView workbookViewId="0"/>
  </sheetViews>
  <sheetFormatPr baseColWidth="10" defaultRowHeight="12.75"/>
  <cols>
    <col min="1" max="1" width="33.5703125" bestFit="1" customWidth="1"/>
    <col min="2" max="2" width="35.5703125" bestFit="1" customWidth="1"/>
    <col min="3" max="5" width="21.42578125" customWidth="1"/>
    <col min="6" max="6" width="16.85546875" customWidth="1"/>
  </cols>
  <sheetData>
    <row r="1" spans="1:8">
      <c r="A1" s="70" t="s">
        <v>172</v>
      </c>
      <c r="B1" t="s">
        <v>165</v>
      </c>
    </row>
    <row r="2" spans="1:8" s="76" customFormat="1" ht="15" customHeight="1">
      <c r="A2" s="70" t="s">
        <v>84</v>
      </c>
      <c r="B2" t="s">
        <v>165</v>
      </c>
    </row>
    <row r="3" spans="1:8">
      <c r="A3" s="70" t="s">
        <v>141</v>
      </c>
      <c r="B3" t="s">
        <v>128</v>
      </c>
    </row>
    <row r="4" spans="1:8">
      <c r="A4" s="70" t="s">
        <v>142</v>
      </c>
      <c r="B4" t="s">
        <v>165</v>
      </c>
    </row>
    <row r="5" spans="1:8" s="36" customFormat="1">
      <c r="A5"/>
      <c r="B5"/>
      <c r="C5"/>
      <c r="D5"/>
      <c r="E5"/>
      <c r="F5"/>
      <c r="G5"/>
      <c r="H5"/>
    </row>
    <row r="6" spans="1:8">
      <c r="A6" s="70" t="s">
        <v>161</v>
      </c>
    </row>
    <row r="7" spans="1:8" s="36" customFormat="1">
      <c r="A7" s="72" t="s">
        <v>156</v>
      </c>
      <c r="B7" s="36" t="s">
        <v>77</v>
      </c>
      <c r="C7"/>
      <c r="D7"/>
      <c r="E7"/>
    </row>
    <row r="8" spans="1:8">
      <c r="A8" t="s">
        <v>167</v>
      </c>
      <c r="B8" s="71">
        <v>300</v>
      </c>
    </row>
    <row r="9" spans="1:8">
      <c r="A9" t="s">
        <v>168</v>
      </c>
      <c r="B9" s="71">
        <v>250</v>
      </c>
    </row>
    <row r="10" spans="1:8">
      <c r="A10" t="s">
        <v>169</v>
      </c>
      <c r="B10" s="71">
        <v>410</v>
      </c>
    </row>
    <row r="11" spans="1:8">
      <c r="A11" t="s">
        <v>170</v>
      </c>
      <c r="B11" s="71">
        <v>310</v>
      </c>
    </row>
    <row r="12" spans="1:8">
      <c r="A12" t="s">
        <v>269</v>
      </c>
      <c r="B12" s="71">
        <v>130</v>
      </c>
    </row>
    <row r="13" spans="1:8">
      <c r="A13" t="s">
        <v>166</v>
      </c>
      <c r="B13" s="71">
        <v>1400</v>
      </c>
    </row>
  </sheetData>
  <printOptions horizontalCentered="1" verticalCentered="1"/>
  <pageMargins left="0.19685039370078741" right="0.19685039370078741" top="0.39370078740157483" bottom="0.39370078740157483" header="0.19685039370078741" footer="0.19685039370078741"/>
  <pageSetup paperSize="9" scale="99" fitToHeight="0" orientation="landscape" verticalDpi="0" r:id="rId2"/>
  <headerFooter>
    <oddFooter>&amp;CPage &amp;P sur &amp;N - &amp;D</oddFooter>
  </headerFooter>
  <drawing r:id="rId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K88"/>
  <sheetViews>
    <sheetView workbookViewId="0">
      <pane ySplit="4" topLeftCell="A20" activePane="bottomLeft" state="frozen"/>
      <selection activeCell="B3" sqref="B3"/>
      <selection pane="bottomLeft" activeCell="I29" sqref="I29"/>
    </sheetView>
  </sheetViews>
  <sheetFormatPr baseColWidth="10" defaultRowHeight="12.75"/>
  <cols>
    <col min="1" max="3" width="30.42578125" style="210" customWidth="1"/>
    <col min="4" max="5" width="19.140625" style="210" customWidth="1"/>
    <col min="6" max="6" width="5" style="210" customWidth="1"/>
    <col min="7" max="9" width="15.42578125" style="210" customWidth="1"/>
    <col min="10" max="10" width="6.28515625" style="210" customWidth="1"/>
    <col min="11" max="11" width="23" style="210" customWidth="1"/>
    <col min="12" max="16384" width="11.42578125" style="210"/>
  </cols>
  <sheetData>
    <row r="1" spans="1:11" s="203" customFormat="1" ht="30" customHeight="1">
      <c r="A1" s="202" t="s">
        <v>0</v>
      </c>
      <c r="B1" s="101" t="s">
        <v>1</v>
      </c>
    </row>
    <row r="2" spans="1:11" s="203" customFormat="1" ht="17.25" customHeight="1">
      <c r="A2" s="202" t="s">
        <v>108</v>
      </c>
      <c r="B2" s="101" t="s">
        <v>109</v>
      </c>
    </row>
    <row r="3" spans="1:11" s="203" customFormat="1" ht="17.25" customHeight="1">
      <c r="A3" s="202" t="s">
        <v>2</v>
      </c>
      <c r="B3" s="101" t="s">
        <v>3</v>
      </c>
    </row>
    <row r="5" spans="1:11" s="206" customFormat="1">
      <c r="A5" s="204" t="s">
        <v>62</v>
      </c>
      <c r="B5" s="205"/>
    </row>
    <row r="6" spans="1:11">
      <c r="A6" s="208" t="s">
        <v>62</v>
      </c>
      <c r="B6" s="209" t="s">
        <v>64</v>
      </c>
    </row>
    <row r="7" spans="1:11">
      <c r="A7" s="83" t="s">
        <v>66</v>
      </c>
      <c r="B7" s="84" t="s">
        <v>67</v>
      </c>
    </row>
    <row r="8" spans="1:11">
      <c r="A8" s="83" t="s">
        <v>68</v>
      </c>
      <c r="B8" s="84" t="s">
        <v>67</v>
      </c>
    </row>
    <row r="9" spans="1:11">
      <c r="A9" s="83" t="s">
        <v>72</v>
      </c>
      <c r="B9" s="84" t="s">
        <v>65</v>
      </c>
    </row>
    <row r="10" spans="1:11">
      <c r="A10" s="83" t="s">
        <v>70</v>
      </c>
      <c r="B10" s="84" t="s">
        <v>67</v>
      </c>
      <c r="K10" s="216"/>
    </row>
    <row r="11" spans="1:11">
      <c r="A11" s="83" t="s">
        <v>69</v>
      </c>
      <c r="B11" s="84" t="s">
        <v>67</v>
      </c>
      <c r="K11" s="206"/>
    </row>
    <row r="12" spans="1:11">
      <c r="A12" s="214" t="s">
        <v>63</v>
      </c>
      <c r="B12" s="215" t="s">
        <v>65</v>
      </c>
    </row>
    <row r="13" spans="1:11">
      <c r="A13" s="83" t="s">
        <v>71</v>
      </c>
      <c r="B13" s="84" t="s">
        <v>65</v>
      </c>
    </row>
    <row r="14" spans="1:11">
      <c r="A14" s="83"/>
      <c r="B14" s="84"/>
    </row>
    <row r="15" spans="1:11">
      <c r="A15" s="83"/>
      <c r="B15" s="84"/>
    </row>
    <row r="16" spans="1:11">
      <c r="A16" s="83"/>
      <c r="B16" s="84"/>
    </row>
    <row r="17" spans="1:11">
      <c r="A17" s="217" t="s">
        <v>285</v>
      </c>
      <c r="B17" s="234" t="s">
        <v>69</v>
      </c>
    </row>
    <row r="18" spans="1:11" s="216" customFormat="1">
      <c r="A18" s="210"/>
      <c r="B18" s="210"/>
      <c r="D18" s="210"/>
      <c r="E18" s="210"/>
      <c r="G18" s="210"/>
      <c r="H18" s="210"/>
      <c r="I18" s="210"/>
      <c r="K18" s="210"/>
    </row>
    <row r="19" spans="1:11" s="216" customFormat="1">
      <c r="A19" s="204" t="s">
        <v>176</v>
      </c>
      <c r="B19" s="207"/>
      <c r="D19" s="210"/>
      <c r="E19" s="210"/>
      <c r="G19" s="210"/>
      <c r="H19" s="210"/>
      <c r="I19" s="210"/>
      <c r="K19" s="210"/>
    </row>
    <row r="20" spans="1:11" s="216" customFormat="1">
      <c r="A20" s="211" t="s">
        <v>34</v>
      </c>
      <c r="B20" s="225" t="s">
        <v>177</v>
      </c>
      <c r="D20" s="210"/>
      <c r="E20" s="210"/>
      <c r="G20" s="210"/>
      <c r="H20" s="210"/>
      <c r="I20" s="210"/>
      <c r="K20" s="210"/>
    </row>
    <row r="21" spans="1:11" s="216" customFormat="1">
      <c r="A21" s="104" t="s">
        <v>273</v>
      </c>
      <c r="B21" s="103">
        <v>0</v>
      </c>
      <c r="D21" s="210"/>
      <c r="E21" s="210"/>
      <c r="G21" s="210"/>
      <c r="H21" s="210"/>
      <c r="I21" s="210"/>
      <c r="K21" s="210"/>
    </row>
    <row r="22" spans="1:11" s="216" customFormat="1">
      <c r="A22" s="104" t="s">
        <v>175</v>
      </c>
      <c r="B22" s="103">
        <v>1</v>
      </c>
      <c r="D22" s="210"/>
      <c r="E22" s="210"/>
      <c r="G22" s="210"/>
      <c r="H22" s="210"/>
      <c r="I22" s="210"/>
      <c r="K22" s="210"/>
    </row>
    <row r="23" spans="1:11" s="216" customFormat="1">
      <c r="A23" s="104" t="s">
        <v>137</v>
      </c>
      <c r="B23" s="103">
        <v>6</v>
      </c>
      <c r="D23" s="210"/>
      <c r="E23" s="210"/>
      <c r="G23" s="210"/>
      <c r="H23" s="210"/>
      <c r="I23" s="210"/>
      <c r="K23" s="210"/>
    </row>
    <row r="24" spans="1:11" s="216" customFormat="1">
      <c r="A24" s="104" t="s">
        <v>136</v>
      </c>
      <c r="B24" s="103">
        <v>12</v>
      </c>
      <c r="D24" s="210"/>
      <c r="E24" s="210"/>
      <c r="G24" s="210"/>
      <c r="H24" s="210"/>
      <c r="I24" s="210"/>
      <c r="K24" s="210"/>
    </row>
    <row r="25" spans="1:11" s="216" customFormat="1">
      <c r="A25" s="104" t="s">
        <v>159</v>
      </c>
      <c r="B25" s="103">
        <v>2</v>
      </c>
      <c r="D25" s="210"/>
      <c r="E25" s="210"/>
      <c r="G25" s="210"/>
      <c r="H25" s="210"/>
      <c r="I25" s="210"/>
      <c r="K25" s="210"/>
    </row>
    <row r="26" spans="1:11" s="216" customFormat="1">
      <c r="A26" s="104" t="s">
        <v>174</v>
      </c>
      <c r="B26" s="103">
        <v>4</v>
      </c>
      <c r="D26" s="210"/>
      <c r="E26" s="210"/>
      <c r="G26" s="210"/>
      <c r="H26" s="210"/>
      <c r="I26" s="210"/>
      <c r="K26" s="210"/>
    </row>
    <row r="27" spans="1:11" s="216" customFormat="1">
      <c r="A27" s="104"/>
      <c r="B27" s="103"/>
      <c r="D27" s="210"/>
      <c r="E27" s="210"/>
      <c r="G27" s="210"/>
      <c r="H27" s="210"/>
      <c r="I27" s="210"/>
      <c r="K27" s="210"/>
    </row>
    <row r="28" spans="1:11" s="216" customFormat="1">
      <c r="A28" s="104"/>
      <c r="B28" s="103"/>
      <c r="D28" s="210"/>
      <c r="E28" s="210"/>
      <c r="G28" s="210"/>
      <c r="H28" s="210"/>
      <c r="I28" s="210"/>
      <c r="K28" s="210"/>
    </row>
    <row r="29" spans="1:11" s="216" customFormat="1">
      <c r="A29" s="104"/>
      <c r="B29" s="103"/>
      <c r="D29" s="210"/>
      <c r="E29" s="210"/>
      <c r="G29" s="210"/>
      <c r="H29" s="210"/>
      <c r="I29" s="210"/>
      <c r="K29" s="210"/>
    </row>
    <row r="30" spans="1:11" s="216" customFormat="1">
      <c r="A30" s="104"/>
      <c r="B30" s="103"/>
      <c r="D30" s="210"/>
      <c r="E30" s="210"/>
      <c r="G30" s="210"/>
      <c r="H30" s="210"/>
      <c r="I30" s="210"/>
      <c r="K30" s="210"/>
    </row>
    <row r="31" spans="1:11" s="216" customFormat="1">
      <c r="A31" s="217" t="s">
        <v>285</v>
      </c>
      <c r="B31" s="233" t="s">
        <v>273</v>
      </c>
      <c r="D31" s="210"/>
      <c r="E31" s="210"/>
      <c r="G31" s="210"/>
      <c r="H31" s="210"/>
      <c r="I31" s="210"/>
      <c r="K31" s="210"/>
    </row>
    <row r="32" spans="1:11" s="206" customFormat="1">
      <c r="A32" s="216"/>
      <c r="B32" s="216"/>
      <c r="D32" s="210"/>
      <c r="E32" s="210"/>
      <c r="G32" s="210"/>
      <c r="H32" s="210"/>
      <c r="I32" s="210"/>
      <c r="K32" s="210"/>
    </row>
    <row r="33" spans="1:11" s="206" customFormat="1">
      <c r="A33" s="204" t="s">
        <v>43</v>
      </c>
      <c r="B33" s="207"/>
      <c r="D33" s="210"/>
      <c r="E33" s="210"/>
      <c r="G33" s="210"/>
      <c r="H33" s="210"/>
      <c r="I33" s="210"/>
      <c r="K33" s="210"/>
    </row>
    <row r="34" spans="1:11" s="206" customFormat="1">
      <c r="A34" s="211" t="s">
        <v>286</v>
      </c>
      <c r="B34" s="225"/>
      <c r="D34" s="210"/>
      <c r="E34" s="210"/>
      <c r="G34" s="210"/>
      <c r="H34" s="210"/>
      <c r="I34" s="210"/>
      <c r="K34" s="210"/>
    </row>
    <row r="35" spans="1:11" s="206" customFormat="1">
      <c r="A35" s="103">
        <v>0</v>
      </c>
      <c r="B35" s="103"/>
      <c r="D35" s="210"/>
      <c r="E35" s="210"/>
      <c r="G35" s="210"/>
      <c r="H35" s="210"/>
      <c r="I35" s="210"/>
      <c r="K35" s="210"/>
    </row>
    <row r="36" spans="1:11" s="206" customFormat="1">
      <c r="A36" s="103">
        <v>5.5</v>
      </c>
      <c r="B36" s="103"/>
      <c r="D36" s="210"/>
      <c r="E36" s="210"/>
      <c r="G36" s="210"/>
      <c r="H36" s="210"/>
      <c r="I36" s="210"/>
      <c r="K36" s="210"/>
    </row>
    <row r="37" spans="1:11" s="206" customFormat="1">
      <c r="A37" s="103">
        <v>7.5</v>
      </c>
      <c r="B37" s="103"/>
      <c r="D37" s="210"/>
      <c r="E37" s="210"/>
      <c r="G37" s="210"/>
      <c r="H37" s="210"/>
      <c r="I37" s="210"/>
      <c r="K37" s="210"/>
    </row>
    <row r="38" spans="1:11" s="206" customFormat="1">
      <c r="A38" s="103">
        <v>19.600000000000001</v>
      </c>
      <c r="B38" s="103"/>
      <c r="D38" s="210"/>
      <c r="E38" s="210"/>
      <c r="G38" s="210"/>
      <c r="H38" s="210"/>
      <c r="I38" s="210"/>
      <c r="K38" s="210"/>
    </row>
    <row r="39" spans="1:11" s="206" customFormat="1">
      <c r="A39" s="103">
        <v>20</v>
      </c>
      <c r="B39" s="103"/>
      <c r="D39" s="210"/>
      <c r="E39" s="210"/>
      <c r="G39" s="210"/>
      <c r="H39" s="210"/>
      <c r="I39" s="210"/>
      <c r="K39" s="210"/>
    </row>
    <row r="40" spans="1:11" s="206" customFormat="1">
      <c r="A40" s="103"/>
      <c r="B40" s="103"/>
      <c r="D40" s="210"/>
      <c r="E40" s="210"/>
      <c r="G40" s="210"/>
      <c r="H40" s="210"/>
      <c r="I40" s="210"/>
      <c r="K40" s="210"/>
    </row>
    <row r="41" spans="1:11" s="206" customFormat="1">
      <c r="A41" s="103"/>
      <c r="B41" s="103"/>
      <c r="D41" s="210"/>
      <c r="E41" s="210"/>
      <c r="G41" s="210"/>
      <c r="H41" s="210"/>
      <c r="I41" s="210"/>
      <c r="K41" s="210"/>
    </row>
    <row r="42" spans="1:11" s="206" customFormat="1">
      <c r="A42" s="103"/>
      <c r="B42" s="103"/>
      <c r="D42" s="210"/>
      <c r="E42" s="210"/>
      <c r="G42" s="210"/>
      <c r="H42" s="210"/>
      <c r="I42" s="210"/>
      <c r="K42" s="210"/>
    </row>
    <row r="43" spans="1:11" s="206" customFormat="1">
      <c r="A43" s="103"/>
      <c r="B43" s="103"/>
      <c r="D43" s="210"/>
      <c r="E43" s="210"/>
      <c r="G43" s="210"/>
      <c r="H43" s="210"/>
      <c r="I43" s="210"/>
      <c r="K43" s="210"/>
    </row>
    <row r="44" spans="1:11" s="206" customFormat="1">
      <c r="A44" s="103"/>
      <c r="B44" s="103"/>
      <c r="D44" s="210"/>
      <c r="E44" s="210"/>
      <c r="G44" s="210"/>
      <c r="H44" s="210"/>
      <c r="I44" s="210"/>
      <c r="K44" s="210"/>
    </row>
    <row r="45" spans="1:11" s="206" customFormat="1">
      <c r="A45" s="217" t="s">
        <v>285</v>
      </c>
      <c r="B45" s="264">
        <v>20</v>
      </c>
      <c r="D45" s="210"/>
      <c r="E45" s="210"/>
      <c r="G45" s="210"/>
      <c r="H45" s="210"/>
      <c r="I45" s="210"/>
      <c r="K45" s="210"/>
    </row>
    <row r="46" spans="1:11" s="206" customFormat="1">
      <c r="A46" s="216"/>
      <c r="B46" s="216"/>
      <c r="D46" s="210"/>
      <c r="E46" s="210"/>
      <c r="G46" s="210"/>
      <c r="H46" s="210"/>
      <c r="I46" s="210"/>
      <c r="K46" s="210"/>
    </row>
    <row r="47" spans="1:11" s="206" customFormat="1">
      <c r="A47" s="204" t="s">
        <v>120</v>
      </c>
      <c r="B47" s="207"/>
      <c r="C47" s="207"/>
      <c r="D47" s="210"/>
      <c r="E47" s="210"/>
      <c r="G47" s="210"/>
      <c r="H47" s="210"/>
      <c r="I47" s="210"/>
      <c r="K47" s="210"/>
    </row>
    <row r="48" spans="1:11" s="206" customFormat="1">
      <c r="A48" s="212" t="s">
        <v>59</v>
      </c>
      <c r="B48" s="212" t="s">
        <v>60</v>
      </c>
      <c r="C48" s="213" t="s">
        <v>121</v>
      </c>
      <c r="D48" s="210"/>
      <c r="E48" s="210"/>
      <c r="G48" s="210"/>
      <c r="H48" s="210"/>
      <c r="I48" s="210"/>
      <c r="K48" s="210"/>
    </row>
    <row r="49" spans="1:11" s="206" customFormat="1">
      <c r="A49" s="82">
        <v>41275</v>
      </c>
      <c r="B49" s="82">
        <v>41305</v>
      </c>
      <c r="C49" s="102">
        <v>23.61</v>
      </c>
      <c r="D49" s="210"/>
      <c r="E49" s="210"/>
      <c r="G49" s="210"/>
      <c r="H49" s="210"/>
      <c r="I49" s="210"/>
      <c r="K49" s="210"/>
    </row>
    <row r="50" spans="1:11" s="206" customFormat="1">
      <c r="A50" s="82">
        <v>41640</v>
      </c>
      <c r="B50" s="82">
        <v>41670</v>
      </c>
      <c r="C50" s="224">
        <v>25.62</v>
      </c>
      <c r="D50" s="210"/>
      <c r="E50" s="210"/>
      <c r="G50" s="210"/>
      <c r="H50" s="210"/>
      <c r="I50" s="210"/>
      <c r="K50" s="210"/>
    </row>
    <row r="51" spans="1:11" s="206" customFormat="1">
      <c r="A51" s="82"/>
      <c r="B51" s="82"/>
      <c r="C51" s="102"/>
      <c r="D51" s="210"/>
      <c r="E51" s="210"/>
      <c r="G51" s="210"/>
      <c r="H51" s="210"/>
      <c r="I51" s="210"/>
      <c r="K51" s="210"/>
    </row>
    <row r="52" spans="1:11" s="206" customFormat="1">
      <c r="A52" s="82"/>
      <c r="B52" s="82"/>
      <c r="C52" s="102"/>
      <c r="D52" s="210"/>
      <c r="E52" s="210"/>
      <c r="G52" s="210"/>
      <c r="H52" s="210"/>
      <c r="I52" s="210"/>
      <c r="K52" s="210"/>
    </row>
    <row r="53" spans="1:11" s="206" customFormat="1">
      <c r="A53" s="82"/>
      <c r="B53" s="82"/>
      <c r="C53" s="102"/>
      <c r="D53" s="210"/>
      <c r="E53" s="210"/>
      <c r="G53" s="210"/>
      <c r="H53" s="210"/>
      <c r="I53" s="210"/>
      <c r="K53" s="210"/>
    </row>
    <row r="54" spans="1:11" s="206" customFormat="1">
      <c r="A54" s="82"/>
      <c r="B54" s="82"/>
      <c r="C54" s="102"/>
      <c r="D54" s="210"/>
      <c r="E54" s="210"/>
      <c r="G54" s="210"/>
      <c r="H54" s="210"/>
      <c r="I54" s="210"/>
      <c r="K54" s="210"/>
    </row>
    <row r="55" spans="1:11" s="206" customFormat="1">
      <c r="A55" s="82"/>
      <c r="B55" s="82"/>
      <c r="C55" s="102"/>
      <c r="D55" s="210"/>
      <c r="E55" s="210"/>
      <c r="G55" s="210"/>
      <c r="H55" s="210"/>
      <c r="I55" s="210"/>
      <c r="K55" s="210"/>
    </row>
    <row r="56" spans="1:11" s="206" customFormat="1">
      <c r="A56" s="82"/>
      <c r="B56" s="82"/>
      <c r="C56" s="102"/>
      <c r="D56" s="210"/>
      <c r="E56" s="210"/>
      <c r="G56" s="210"/>
      <c r="H56" s="210"/>
      <c r="I56" s="210"/>
      <c r="K56" s="210"/>
    </row>
    <row r="57" spans="1:11" s="206" customFormat="1">
      <c r="A57" s="82"/>
      <c r="B57" s="82"/>
      <c r="C57" s="102"/>
      <c r="D57" s="210"/>
      <c r="E57" s="210"/>
      <c r="G57" s="210"/>
      <c r="H57" s="210"/>
      <c r="I57" s="210"/>
      <c r="K57" s="210"/>
    </row>
    <row r="58" spans="1:11" s="206" customFormat="1">
      <c r="A58" s="82"/>
      <c r="B58" s="82"/>
      <c r="C58" s="102"/>
      <c r="D58" s="210"/>
      <c r="E58" s="210"/>
      <c r="G58" s="210"/>
      <c r="H58" s="210"/>
      <c r="I58" s="210"/>
      <c r="K58" s="210"/>
    </row>
    <row r="59" spans="1:11" s="206" customFormat="1">
      <c r="A59" s="219"/>
      <c r="B59" s="218"/>
      <c r="C59" s="220"/>
      <c r="D59" s="210"/>
      <c r="E59" s="210"/>
      <c r="G59" s="210"/>
      <c r="H59" s="210"/>
      <c r="I59" s="210"/>
      <c r="K59" s="210"/>
    </row>
    <row r="60" spans="1:11" s="206" customFormat="1">
      <c r="A60" s="216"/>
      <c r="B60" s="216"/>
      <c r="D60" s="210"/>
      <c r="E60" s="210"/>
      <c r="G60" s="210"/>
      <c r="H60" s="210"/>
      <c r="I60" s="210"/>
      <c r="K60" s="210"/>
    </row>
    <row r="61" spans="1:11" s="206" customFormat="1">
      <c r="A61" s="204" t="s">
        <v>258</v>
      </c>
      <c r="B61" s="204"/>
      <c r="D61" s="210"/>
      <c r="E61" s="210"/>
      <c r="G61" s="210"/>
      <c r="H61" s="210"/>
      <c r="I61" s="210"/>
      <c r="K61" s="210"/>
    </row>
    <row r="62" spans="1:11" s="206" customFormat="1">
      <c r="A62" s="211" t="s">
        <v>34</v>
      </c>
      <c r="B62" s="211"/>
      <c r="D62" s="210"/>
      <c r="E62" s="210"/>
      <c r="G62" s="210"/>
      <c r="H62" s="210"/>
      <c r="I62" s="210"/>
      <c r="K62" s="210"/>
    </row>
    <row r="63" spans="1:11" s="206" customFormat="1">
      <c r="A63" s="104" t="s">
        <v>37</v>
      </c>
      <c r="B63" s="104"/>
      <c r="D63" s="210"/>
      <c r="E63" s="210"/>
      <c r="G63" s="210"/>
      <c r="H63" s="210"/>
      <c r="I63" s="210"/>
      <c r="K63" s="210"/>
    </row>
    <row r="64" spans="1:11" s="206" customFormat="1">
      <c r="A64" s="104" t="s">
        <v>53</v>
      </c>
      <c r="B64" s="104"/>
      <c r="D64" s="210"/>
      <c r="E64" s="210"/>
      <c r="G64" s="210"/>
      <c r="H64" s="210"/>
      <c r="I64" s="210"/>
      <c r="K64" s="210"/>
    </row>
    <row r="65" spans="1:11" s="206" customFormat="1">
      <c r="A65" s="231" t="s">
        <v>287</v>
      </c>
      <c r="B65" s="232" t="s">
        <v>37</v>
      </c>
      <c r="D65" s="210"/>
      <c r="E65" s="210"/>
      <c r="G65" s="210"/>
      <c r="H65" s="210"/>
      <c r="I65" s="210"/>
      <c r="K65" s="210"/>
    </row>
    <row r="66" spans="1:11" s="206" customFormat="1">
      <c r="A66" s="216"/>
      <c r="B66" s="216"/>
      <c r="D66" s="210"/>
      <c r="E66" s="210"/>
      <c r="G66" s="210"/>
      <c r="H66" s="210"/>
      <c r="I66" s="210"/>
      <c r="K66" s="210"/>
    </row>
    <row r="67" spans="1:11">
      <c r="A67" s="282" t="s">
        <v>229</v>
      </c>
      <c r="B67" s="282"/>
      <c r="C67" s="223"/>
      <c r="G67" s="206"/>
      <c r="H67" s="206"/>
      <c r="I67" s="206"/>
    </row>
    <row r="68" spans="1:11">
      <c r="A68" s="208" t="s">
        <v>280</v>
      </c>
      <c r="B68" s="209" t="s">
        <v>279</v>
      </c>
      <c r="C68" s="208" t="s">
        <v>278</v>
      </c>
      <c r="D68" s="216"/>
      <c r="E68" s="216"/>
    </row>
    <row r="69" spans="1:11">
      <c r="A69" s="265" t="s">
        <v>213</v>
      </c>
      <c r="B69" s="222">
        <v>4</v>
      </c>
      <c r="C69" s="221"/>
      <c r="D69" s="206"/>
      <c r="E69" s="206"/>
    </row>
    <row r="70" spans="1:11">
      <c r="A70" s="265" t="s">
        <v>214</v>
      </c>
      <c r="B70" s="222">
        <v>4</v>
      </c>
      <c r="C70" s="221"/>
    </row>
    <row r="71" spans="1:11">
      <c r="A71" s="265" t="s">
        <v>230</v>
      </c>
      <c r="B71" s="222">
        <v>4</v>
      </c>
      <c r="C71" s="221"/>
    </row>
    <row r="72" spans="1:11">
      <c r="A72" s="265" t="s">
        <v>231</v>
      </c>
      <c r="B72" s="222">
        <v>4</v>
      </c>
      <c r="C72" s="221"/>
    </row>
    <row r="73" spans="1:11">
      <c r="A73" s="265" t="s">
        <v>164</v>
      </c>
      <c r="B73" s="222">
        <v>4</v>
      </c>
      <c r="C73" s="221"/>
    </row>
    <row r="74" spans="1:11">
      <c r="A74" s="265" t="s">
        <v>220</v>
      </c>
      <c r="B74" s="222">
        <v>4</v>
      </c>
      <c r="C74" s="221" t="s">
        <v>274</v>
      </c>
    </row>
    <row r="75" spans="1:11">
      <c r="A75" s="265" t="s">
        <v>221</v>
      </c>
      <c r="B75" s="222">
        <v>4</v>
      </c>
      <c r="C75" s="221" t="s">
        <v>272</v>
      </c>
    </row>
    <row r="76" spans="1:11">
      <c r="A76" s="265" t="s">
        <v>219</v>
      </c>
      <c r="B76" s="222">
        <v>4</v>
      </c>
      <c r="C76" s="221" t="s">
        <v>272</v>
      </c>
    </row>
    <row r="77" spans="1:11">
      <c r="A77" s="265" t="s">
        <v>215</v>
      </c>
      <c r="B77" s="222">
        <v>6</v>
      </c>
      <c r="C77" s="221" t="s">
        <v>277</v>
      </c>
    </row>
    <row r="78" spans="1:11">
      <c r="A78" s="265" t="s">
        <v>138</v>
      </c>
      <c r="B78" s="222">
        <v>4</v>
      </c>
      <c r="C78" s="221" t="s">
        <v>274</v>
      </c>
    </row>
    <row r="79" spans="1:11">
      <c r="A79" s="265" t="s">
        <v>226</v>
      </c>
      <c r="B79" s="222">
        <v>6</v>
      </c>
      <c r="C79" s="221" t="s">
        <v>272</v>
      </c>
    </row>
    <row r="80" spans="1:11">
      <c r="A80" s="265" t="s">
        <v>216</v>
      </c>
      <c r="B80" s="222">
        <v>6</v>
      </c>
      <c r="C80" s="221" t="s">
        <v>272</v>
      </c>
    </row>
    <row r="81" spans="1:3">
      <c r="A81" s="265" t="s">
        <v>222</v>
      </c>
      <c r="B81" s="222">
        <v>6</v>
      </c>
      <c r="C81" s="221" t="s">
        <v>272</v>
      </c>
    </row>
    <row r="82" spans="1:3">
      <c r="A82" s="265" t="s">
        <v>232</v>
      </c>
      <c r="B82" s="222">
        <v>6</v>
      </c>
      <c r="C82" s="221"/>
    </row>
    <row r="84" spans="1:3">
      <c r="A84" s="208" t="s">
        <v>244</v>
      </c>
      <c r="B84" s="222" t="s">
        <v>67</v>
      </c>
    </row>
    <row r="85" spans="1:3">
      <c r="A85" s="208" t="s">
        <v>242</v>
      </c>
      <c r="B85" s="222" t="s">
        <v>65</v>
      </c>
    </row>
    <row r="86" spans="1:3">
      <c r="A86" s="208" t="s">
        <v>243</v>
      </c>
      <c r="B86" s="222" t="s">
        <v>65</v>
      </c>
    </row>
    <row r="87" spans="1:3">
      <c r="A87" s="208" t="s">
        <v>245</v>
      </c>
      <c r="B87" s="196" t="s">
        <v>65</v>
      </c>
    </row>
    <row r="88" spans="1:3">
      <c r="A88" s="208" t="s">
        <v>263</v>
      </c>
      <c r="B88" s="196" t="s">
        <v>65</v>
      </c>
    </row>
  </sheetData>
  <sheetProtection selectLockedCells="1"/>
  <sortState ref="A7:B16">
    <sortCondition ref="A7"/>
  </sortState>
  <mergeCells count="1">
    <mergeCell ref="A67:B67"/>
  </mergeCells>
  <dataValidations count="16">
    <dataValidation type="list" allowBlank="1" showInputMessage="1" showErrorMessage="1" errorTitle="Choisissez dans la liste !" error="Choisissez dans la liste !" promptTitle="Choisissez dans la liste" prompt="Choisissez dans la liste" sqref="B84:B87">
      <formula1>"oui,non"</formula1>
    </dataValidation>
    <dataValidation type="list" allowBlank="1" showInputMessage="1" showErrorMessage="1" sqref="C69">
      <formula1>Liste_Interventions</formula1>
    </dataValidation>
    <dataValidation type="list" allowBlank="1" showInputMessage="1" showErrorMessage="1" sqref="C71">
      <formula1>Liste_Entêtes</formula1>
    </dataValidation>
    <dataValidation type="list" allowBlank="1" showInputMessage="1" showErrorMessage="1" sqref="C74">
      <formula1>Liste_Chantiers</formula1>
    </dataValidation>
    <dataValidation type="list" allowBlank="1" showInputMessage="1" showErrorMessage="1" sqref="C75">
      <formula1>Liste_Imputations</formula1>
    </dataValidation>
    <dataValidation type="list" allowBlank="1" showInputMessage="1" showErrorMessage="1" sqref="C76">
      <formula1>Liste_Fournisseurs</formula1>
    </dataValidation>
    <dataValidation type="list" allowBlank="1" showInputMessage="1" showErrorMessage="1" sqref="C77">
      <formula1>Liste_Agents</formula1>
    </dataValidation>
    <dataValidation type="list" allowBlank="1" showInputMessage="1" showErrorMessage="1" sqref="C78">
      <formula1>Liste_Bâtiments</formula1>
    </dataValidation>
    <dataValidation type="list" allowBlank="1" showInputMessage="1" showErrorMessage="1" sqref="C79">
      <formula1>Liste_Catégories_Bâtiments</formula1>
    </dataValidation>
    <dataValidation type="list" allowBlank="1" showInputMessage="1" showErrorMessage="1" sqref="C80">
      <formula1>Liste_Services</formula1>
    </dataValidation>
    <dataValidation type="list" allowBlank="1" showInputMessage="1" showErrorMessage="1" sqref="C81">
      <formula1>Liste_Energies</formula1>
    </dataValidation>
    <dataValidation type="list" allowBlank="1" showInputMessage="1" showErrorMessage="1" sqref="C82">
      <formula1>Liste_Compteurs</formula1>
    </dataValidation>
    <dataValidation type="list" allowBlank="1" showInputMessage="1" showErrorMessage="1" sqref="B17">
      <formula1>Liste_Indicateurs</formula1>
    </dataValidation>
    <dataValidation type="list" allowBlank="1" showInputMessage="1" showErrorMessage="1" sqref="B31">
      <formula1>Liste_Périodicités</formula1>
    </dataValidation>
    <dataValidation type="list" allowBlank="1" showInputMessage="1" showErrorMessage="1" sqref="B45">
      <formula1>Liste_Taux_TVA</formula1>
    </dataValidation>
    <dataValidation type="list" allowBlank="1" showInputMessage="1" showErrorMessage="1" sqref="B65">
      <formula1>Liste_Sections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9" scale="98" orientation="landscape" verticalDpi="0" r:id="rId1"/>
  <headerFooter>
    <oddFooter>&amp;CPage &amp;P sur &amp;N -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97</vt:i4>
      </vt:variant>
    </vt:vector>
  </HeadingPairs>
  <TitlesOfParts>
    <vt:vector size="115" baseType="lpstr">
      <vt:lpstr>Accueil</vt:lpstr>
      <vt:lpstr>Interventions</vt:lpstr>
      <vt:lpstr>Opérations</vt:lpstr>
      <vt:lpstr>Entêtes commandes</vt:lpstr>
      <vt:lpstr>Lignes commandes</vt:lpstr>
      <vt:lpstr>Bon de commande</vt:lpstr>
      <vt:lpstr>Factures Fluides et Energies</vt:lpstr>
      <vt:lpstr>Chantiers</vt:lpstr>
      <vt:lpstr>Imputations</vt:lpstr>
      <vt:lpstr>Fournisseurs</vt:lpstr>
      <vt:lpstr>Agents</vt:lpstr>
      <vt:lpstr>Bâtiments</vt:lpstr>
      <vt:lpstr>Catégories de bâtiments</vt:lpstr>
      <vt:lpstr>Services</vt:lpstr>
      <vt:lpstr>Fluides et Energies</vt:lpstr>
      <vt:lpstr>Points de consommation</vt:lpstr>
      <vt:lpstr>Synthèse Consommations</vt:lpstr>
      <vt:lpstr>Paramètres</vt:lpstr>
      <vt:lpstr>Afficher_Entêtes</vt:lpstr>
      <vt:lpstr>Afficher_Feuilles</vt:lpstr>
      <vt:lpstr>Afficher_Formules</vt:lpstr>
      <vt:lpstr>Agents</vt:lpstr>
      <vt:lpstr>Agents_Services</vt:lpstr>
      <vt:lpstr>Appliquer_Plein_Ecran</vt:lpstr>
      <vt:lpstr>Bâtiments</vt:lpstr>
      <vt:lpstr>Batiments_Catégories</vt:lpstr>
      <vt:lpstr>Catégories_Bâtiments</vt:lpstr>
      <vt:lpstr>Cellule_Travail</vt:lpstr>
      <vt:lpstr>Chantiers</vt:lpstr>
      <vt:lpstr>Collectivité</vt:lpstr>
      <vt:lpstr>Coûts_MO</vt:lpstr>
      <vt:lpstr>'Lignes commandes'!Criteres</vt:lpstr>
      <vt:lpstr>Critères_BC</vt:lpstr>
      <vt:lpstr>Défaut_Agent</vt:lpstr>
      <vt:lpstr>Défaut_Bâtiment</vt:lpstr>
      <vt:lpstr>Défaut_Catégorie_Bâtiment</vt:lpstr>
      <vt:lpstr>Défaut_Chantier</vt:lpstr>
      <vt:lpstr>Défaut_Compteur</vt:lpstr>
      <vt:lpstr>Défaut_Energie</vt:lpstr>
      <vt:lpstr>Défaut_Entête_Commande</vt:lpstr>
      <vt:lpstr>Défaut_Facture_Energie</vt:lpstr>
      <vt:lpstr>Défaut_Fournisseur</vt:lpstr>
      <vt:lpstr>Défaut_Imputation</vt:lpstr>
      <vt:lpstr>Défaut_Indicateur</vt:lpstr>
      <vt:lpstr>Défaut_Intervention</vt:lpstr>
      <vt:lpstr>Défaut_Ligne_Commande</vt:lpstr>
      <vt:lpstr>Défaut_Opération</vt:lpstr>
      <vt:lpstr>Défaut_Périodicité</vt:lpstr>
      <vt:lpstr>Défaut_Section</vt:lpstr>
      <vt:lpstr>Défaut_Service</vt:lpstr>
      <vt:lpstr>Défaut_Taux_TVA</vt:lpstr>
      <vt:lpstr>Energies</vt:lpstr>
      <vt:lpstr>Entêtes_Commandes</vt:lpstr>
      <vt:lpstr>Extraction_BC</vt:lpstr>
      <vt:lpstr>'Lignes commandes'!Extraire</vt:lpstr>
      <vt:lpstr>Factures_Energies</vt:lpstr>
      <vt:lpstr>Fournisseurs</vt:lpstr>
      <vt:lpstr>Agents!Impression_des_titres</vt:lpstr>
      <vt:lpstr>Bâtiments!Impression_des_titres</vt:lpstr>
      <vt:lpstr>'Catégories de bâtiments'!Impression_des_titres</vt:lpstr>
      <vt:lpstr>Chantiers!Impression_des_titres</vt:lpstr>
      <vt:lpstr>'Entêtes commandes'!Impression_des_titres</vt:lpstr>
      <vt:lpstr>'Factures Fluides et Energies'!Impression_des_titres</vt:lpstr>
      <vt:lpstr>'Fluides et Energies'!Impression_des_titres</vt:lpstr>
      <vt:lpstr>Fournisseurs!Impression_des_titres</vt:lpstr>
      <vt:lpstr>Imputations!Impression_des_titres</vt:lpstr>
      <vt:lpstr>Interventions!Impression_des_titres</vt:lpstr>
      <vt:lpstr>'Lignes commandes'!Impression_des_titres</vt:lpstr>
      <vt:lpstr>Opérations!Impression_des_titres</vt:lpstr>
      <vt:lpstr>'Points de consommation'!Impression_des_titres</vt:lpstr>
      <vt:lpstr>Services!Impression_des_titres</vt:lpstr>
      <vt:lpstr>Imputations</vt:lpstr>
      <vt:lpstr>Indicateurs</vt:lpstr>
      <vt:lpstr>Interventions</vt:lpstr>
      <vt:lpstr>Lignes_Commandes</vt:lpstr>
      <vt:lpstr>Liste_Agents</vt:lpstr>
      <vt:lpstr>Liste_Bâtiments</vt:lpstr>
      <vt:lpstr>Liste_Catégories_Bâtiments</vt:lpstr>
      <vt:lpstr>Liste_Chantiers</vt:lpstr>
      <vt:lpstr>Liste_Compteurs</vt:lpstr>
      <vt:lpstr>Liste_Energies</vt:lpstr>
      <vt:lpstr>Liste_Entêtes</vt:lpstr>
      <vt:lpstr>Liste_Fournisseurs</vt:lpstr>
      <vt:lpstr>Liste_Imputations</vt:lpstr>
      <vt:lpstr>Liste_Indicateurs</vt:lpstr>
      <vt:lpstr>Liste_Interventions</vt:lpstr>
      <vt:lpstr>Liste_Périodicités</vt:lpstr>
      <vt:lpstr>Liste_Rédacteurs</vt:lpstr>
      <vt:lpstr>Liste_Sections</vt:lpstr>
      <vt:lpstr>Liste_Services</vt:lpstr>
      <vt:lpstr>Liste_Taux_TVA</vt:lpstr>
      <vt:lpstr>Nb_Lignes_BC</vt:lpstr>
      <vt:lpstr>No_BC</vt:lpstr>
      <vt:lpstr>No_BC_TCD</vt:lpstr>
      <vt:lpstr>Opérations</vt:lpstr>
      <vt:lpstr>Périodicités</vt:lpstr>
      <vt:lpstr>Points_Consommation</vt:lpstr>
      <vt:lpstr>Première_Ligne_Agents</vt:lpstr>
      <vt:lpstr>Première_Ligne_Bâtiments</vt:lpstr>
      <vt:lpstr>Première_Ligne_Catégories_Bâtiments</vt:lpstr>
      <vt:lpstr>Première_Ligne_Chantiers</vt:lpstr>
      <vt:lpstr>Première_Ligne_Entêtes_Commandes</vt:lpstr>
      <vt:lpstr>Première_Ligne_Factures</vt:lpstr>
      <vt:lpstr>Première_Ligne_Fluides_Energies</vt:lpstr>
      <vt:lpstr>Première_Ligne_Fournisseurs</vt:lpstr>
      <vt:lpstr>Première_Ligne_Imputations</vt:lpstr>
      <vt:lpstr>Première_Ligne_Interventions</vt:lpstr>
      <vt:lpstr>Première_Ligne_Lignes_Commandes</vt:lpstr>
      <vt:lpstr>Première_Ligne_Opérations</vt:lpstr>
      <vt:lpstr>Première_Ligne_Points_Consommation</vt:lpstr>
      <vt:lpstr>Première_Ligne_Services</vt:lpstr>
      <vt:lpstr>Service</vt:lpstr>
      <vt:lpstr>Services</vt:lpstr>
      <vt:lpstr>Ville</vt:lpstr>
      <vt:lpstr>'Bon de commande'!Zone_d_impression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cp:lastPrinted>2014-09-17T15:14:29Z</cp:lastPrinted>
  <dcterms:created xsi:type="dcterms:W3CDTF">2014-08-22T13:34:18Z</dcterms:created>
  <dcterms:modified xsi:type="dcterms:W3CDTF">2015-08-11T07:02:34Z</dcterms:modified>
</cp:coreProperties>
</file>