
<file path=[Content_Types].xml><?xml version="1.0" encoding="utf-8"?>
<Types xmlns="http://schemas.openxmlformats.org/package/2006/content-types">
  <Override PartName="/xl/queryTables/queryTable1.xml" ContentType="application/vnd.openxmlformats-officedocument.spreadsheetml.queryTable+xml"/>
  <Override PartName="/xl/queryTables/queryTable39.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queryTables/queryTable19.xml" ContentType="application/vnd.openxmlformats-officedocument.spreadsheetml.queryTable+xml"/>
  <Override PartName="/xl/queryTables/queryTable28.xml" ContentType="application/vnd.openxmlformats-officedocument.spreadsheetml.queryTable+xml"/>
  <Override PartName="/xl/queryTables/queryTable37.xml" ContentType="application/vnd.openxmlformats-officedocument.spreadsheetml.queryTable+xml"/>
  <Override PartName="/xl/queryTables/queryTable46.xml" ContentType="application/vnd.openxmlformats-officedocument.spreadsheetml.queryTable+xml"/>
  <Override PartName="/xl/queryTables/queryTable48.xml" ContentType="application/vnd.openxmlformats-officedocument.spreadsheetml.queryTable+xml"/>
  <Override PartName="/xl/queryTables/queryTable17.xml" ContentType="application/vnd.openxmlformats-officedocument.spreadsheetml.queryTable+xml"/>
  <Override PartName="/xl/queryTables/queryTable26.xml" ContentType="application/vnd.openxmlformats-officedocument.spreadsheetml.queryTable+xml"/>
  <Override PartName="/xl/queryTables/queryTable35.xml" ContentType="application/vnd.openxmlformats-officedocument.spreadsheetml.queryTable+xml"/>
  <Override PartName="/xl/queryTables/queryTable44.xml" ContentType="application/vnd.openxmlformats-officedocument.spreadsheetml.queryTable+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queryTables/queryTable15.xml" ContentType="application/vnd.openxmlformats-officedocument.spreadsheetml.queryTable+xml"/>
  <Override PartName="/xl/queryTables/queryTable24.xml" ContentType="application/vnd.openxmlformats-officedocument.spreadsheetml.queryTable+xml"/>
  <Override PartName="/xl/queryTables/queryTable33.xml" ContentType="application/vnd.openxmlformats-officedocument.spreadsheetml.queryTable+xml"/>
  <Override PartName="/xl/queryTables/queryTable42.xml" ContentType="application/vnd.openxmlformats-officedocument.spreadsheetml.queryTable+xml"/>
  <Override PartName="/xl/comments4.xml" ContentType="application/vnd.openxmlformats-officedocument.spreadsheetml.comments+xml"/>
  <Override PartName="/xl/worksheets/sheet3.xml" ContentType="application/vnd.openxmlformats-officedocument.spreadsheetml.worksheet+xml"/>
  <Override PartName="/xl/connections.xml" ContentType="application/vnd.openxmlformats-officedocument.spreadsheetml.connections+xml"/>
  <Override PartName="/xl/comments2.xml" ContentType="application/vnd.openxmlformats-officedocument.spreadsheetml.comments+xml"/>
  <Override PartName="/xl/queryTables/queryTable13.xml" ContentType="application/vnd.openxmlformats-officedocument.spreadsheetml.queryTable+xml"/>
  <Override PartName="/xl/queryTables/queryTable22.xml" ContentType="application/vnd.openxmlformats-officedocument.spreadsheetml.queryTable+xml"/>
  <Override PartName="/xl/queryTables/queryTable31.xml" ContentType="application/vnd.openxmlformats-officedocument.spreadsheetml.queryTable+xml"/>
  <Override PartName="/xl/queryTables/queryTable40.xml" ContentType="application/vnd.openxmlformats-officedocument.spreadsheetml.queryTable+xml"/>
  <Override PartName="/xl/queryTables/queryTable51.xml" ContentType="application/vnd.openxmlformats-officedocument.spreadsheetml.queryTable+xml"/>
  <Override PartName="/xl/worksheets/sheet1.xml" ContentType="application/vnd.openxmlformats-officedocument.spreadsheetml.worksheet+xml"/>
  <Override PartName="/xl/externalLinks/externalLink1.xml" ContentType="application/vnd.openxmlformats-officedocument.spreadsheetml.externalLink+xml"/>
  <Override PartName="/xl/queryTables/queryTable8.xml" ContentType="application/vnd.openxmlformats-officedocument.spreadsheetml.queryTable+xml"/>
  <Override PartName="/xl/queryTables/queryTable11.xml" ContentType="application/vnd.openxmlformats-officedocument.spreadsheetml.queryTable+xml"/>
  <Override PartName="/xl/queryTables/queryTable20.xml" ContentType="application/vnd.openxmlformats-officedocument.spreadsheetml.queryTable+xml"/>
  <Override PartName="/xl/sharedStrings.xml" ContentType="application/vnd.openxmlformats-officedocument.spreadsheetml.sharedStrings+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docProps/core.xml" ContentType="application/vnd.openxmlformats-package.core-properties+xml"/>
  <Default Extension="bin" ContentType="application/vnd.openxmlformats-officedocument.spreadsheetml.printerSettings"/>
  <Default Extension="png" ContentType="image/png"/>
  <Override PartName="/xl/queryTables/queryTable2.xml" ContentType="application/vnd.openxmlformats-officedocument.spreadsheetml.queryTable+xml"/>
  <Override PartName="/xl/queryTables/queryTable49.xml" ContentType="application/vnd.openxmlformats-officedocument.spreadsheetml.queryTable+xml"/>
  <Override PartName="/xl/queryTables/queryTable18.xml" ContentType="application/vnd.openxmlformats-officedocument.spreadsheetml.queryTable+xml"/>
  <Override PartName="/xl/queryTables/queryTable29.xml" ContentType="application/vnd.openxmlformats-officedocument.spreadsheetml.queryTable+xml"/>
  <Override PartName="/xl/queryTables/queryTable38.xml" ContentType="application/vnd.openxmlformats-officedocument.spreadsheetml.queryTable+xml"/>
  <Override PartName="/xl/queryTables/queryTable47.xml" ContentType="application/vnd.openxmlformats-officedocument.spreadsheetml.queryTable+xml"/>
  <Override PartName="/xl/queryTables/queryTable16.xml" ContentType="application/vnd.openxmlformats-officedocument.spreadsheetml.queryTable+xml"/>
  <Override PartName="/xl/queryTables/queryTable27.xml" ContentType="application/vnd.openxmlformats-officedocument.spreadsheetml.queryTable+xml"/>
  <Override PartName="/xl/queryTables/queryTable36.xml" ContentType="application/vnd.openxmlformats-officedocument.spreadsheetml.queryTable+xml"/>
  <Override PartName="/xl/queryTables/queryTable45.xml" ContentType="application/vnd.openxmlformats-officedocument.spreadsheetml.queryTable+xml"/>
  <Override PartName="/xl/workbook.xml" ContentType="application/vnd.ms-excel.sheet.macroEnabled.main+xml"/>
  <Override PartName="/xl/worksheets/sheet4.xml" ContentType="application/vnd.openxmlformats-officedocument.spreadsheetml.worksheet+xml"/>
  <Override PartName="/xl/drawings/drawing3.xml" ContentType="application/vnd.openxmlformats-officedocument.drawing+xml"/>
  <Override PartName="/xl/queryTables/queryTable14.xml" ContentType="application/vnd.openxmlformats-officedocument.spreadsheetml.queryTable+xml"/>
  <Override PartName="/xl/queryTables/queryTable25.xml" ContentType="application/vnd.openxmlformats-officedocument.spreadsheetml.queryTable+xml"/>
  <Override PartName="/xl/queryTables/queryTable34.xml" ContentType="application/vnd.openxmlformats-officedocument.spreadsheetml.queryTable+xml"/>
  <Override PartName="/xl/queryTables/queryTable43.xml" ContentType="application/vnd.openxmlformats-officedocument.spreadsheetml.queryTable+xml"/>
  <Override PartName="/xl/queryTables/queryTable52.xml" ContentType="application/vnd.openxmlformats-officedocument.spreadsheetml.queryTab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queryTables/queryTable9.xml" ContentType="application/vnd.openxmlformats-officedocument.spreadsheetml.queryTable+xml"/>
  <Override PartName="/xl/queryTables/queryTable12.xml" ContentType="application/vnd.openxmlformats-officedocument.spreadsheetml.queryTable+xml"/>
  <Override PartName="/xl/queryTables/queryTable21.xml" ContentType="application/vnd.openxmlformats-officedocument.spreadsheetml.queryTable+xml"/>
  <Override PartName="/xl/queryTables/queryTable23.xml" ContentType="application/vnd.openxmlformats-officedocument.spreadsheetml.queryTable+xml"/>
  <Override PartName="/xl/queryTables/queryTable32.xml" ContentType="application/vnd.openxmlformats-officedocument.spreadsheetml.queryTable+xml"/>
  <Override PartName="/xl/queryTables/queryTable41.xml" ContentType="application/vnd.openxmlformats-officedocument.spreadsheetml.queryTable+xml"/>
  <Override PartName="/xl/queryTables/queryTable50.xml" ContentType="application/vnd.openxmlformats-officedocument.spreadsheetml.queryTable+xml"/>
  <Default Extension="vml" ContentType="application/vnd.openxmlformats-officedocument.vmlDrawing"/>
  <Override PartName="/xl/comments1.xml" ContentType="application/vnd.openxmlformats-officedocument.spreadsheetml.comments+xml"/>
  <Override PartName="/xl/queryTables/queryTable7.xml" ContentType="application/vnd.openxmlformats-officedocument.spreadsheetml.queryTable+xml"/>
  <Override PartName="/xl/queryTables/queryTable10.xml" ContentType="application/vnd.openxmlformats-officedocument.spreadsheetml.queryTable+xml"/>
  <Override PartName="/xl/queryTables/queryTable30.xml" ContentType="application/vnd.openxmlformats-officedocument.spreadsheetml.query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updateLinks="never" codeName="ThisWorkbook" defaultThemeVersion="124226"/>
  <bookViews>
    <workbookView showHorizontalScroll="0" showVerticalScroll="0" showSheetTabs="0" xWindow="240" yWindow="105" windowWidth="19995" windowHeight="8445"/>
  </bookViews>
  <sheets>
    <sheet name="simul impots" sheetId="1" r:id="rId1"/>
    <sheet name="Frais Réels - détails" sheetId="2" r:id="rId2"/>
    <sheet name="Frais Réels (multi options)" sheetId="5" r:id="rId3"/>
    <sheet name="VERIFMAJ" sheetId="4" r:id="rId4"/>
    <sheet name="Admin" sheetId="3" state="veryHidden" r:id="rId5"/>
  </sheets>
  <externalReferences>
    <externalReference r:id="rId6"/>
  </externalReferences>
  <definedNames>
    <definedName name="Feuille">Admin!$K$10:$K$31</definedName>
    <definedName name="magie_interactive_et_jeux_divers_no174" localSheetId="3">VERIFMAJ!$A$1:$B$188</definedName>
    <definedName name="magie_interactive_et_jeux_divers_no174_1" localSheetId="3">VERIFMAJ!$A$1:$B$188</definedName>
    <definedName name="magie_interactive_et_jeux_divers_no174_10" localSheetId="3">VERIFMAJ!$A$1:$B$188</definedName>
    <definedName name="magie_interactive_et_jeux_divers_no174_11" localSheetId="3">VERIFMAJ!$A$1:$B$188</definedName>
    <definedName name="magie_interactive_et_jeux_divers_no174_12" localSheetId="3">VERIFMAJ!$A$1:$B$188</definedName>
    <definedName name="magie_interactive_et_jeux_divers_no174_13" localSheetId="3">VERIFMAJ!$A$1:$B$188</definedName>
    <definedName name="magie_interactive_et_jeux_divers_no174_14" localSheetId="3">VERIFMAJ!$A$1:$B$188</definedName>
    <definedName name="magie_interactive_et_jeux_divers_no174_15" localSheetId="3">VERIFMAJ!$A$1:$B$188</definedName>
    <definedName name="magie_interactive_et_jeux_divers_no174_16" localSheetId="3">VERIFMAJ!$A$1:$B$188</definedName>
    <definedName name="magie_interactive_et_jeux_divers_no174_17" localSheetId="3">VERIFMAJ!$A$1:$B$188</definedName>
    <definedName name="magie_interactive_et_jeux_divers_no174_18" localSheetId="3">VERIFMAJ!$A$1:$B$188</definedName>
    <definedName name="magie_interactive_et_jeux_divers_no174_19" localSheetId="3">VERIFMAJ!$A$1:$B$188</definedName>
    <definedName name="magie_interactive_et_jeux_divers_no174_2" localSheetId="3">VERIFMAJ!$A$1:$B$188</definedName>
    <definedName name="magie_interactive_et_jeux_divers_no174_20" localSheetId="3">VERIFMAJ!$A$1:$B$188</definedName>
    <definedName name="magie_interactive_et_jeux_divers_no174_21" localSheetId="3">VERIFMAJ!$A$1:$B$188</definedName>
    <definedName name="magie_interactive_et_jeux_divers_no174_22" localSheetId="3">VERIFMAJ!$A$1:$B$188</definedName>
    <definedName name="magie_interactive_et_jeux_divers_no174_23" localSheetId="3">VERIFMAJ!$A$1:$B$188</definedName>
    <definedName name="magie_interactive_et_jeux_divers_no174_24" localSheetId="3">VERIFMAJ!$A$1:$B$188</definedName>
    <definedName name="magie_interactive_et_jeux_divers_no174_25" localSheetId="3">VERIFMAJ!$A$1:$B$188</definedName>
    <definedName name="magie_interactive_et_jeux_divers_no174_26" localSheetId="3">VERIFMAJ!$A$1:$B$188</definedName>
    <definedName name="magie_interactive_et_jeux_divers_no174_27" localSheetId="3">VERIFMAJ!$A$1:$B$188</definedName>
    <definedName name="magie_interactive_et_jeux_divers_no174_28" localSheetId="3">VERIFMAJ!$A$1:$B$188</definedName>
    <definedName name="magie_interactive_et_jeux_divers_no174_29" localSheetId="3">VERIFMAJ!$A$1:$B$188</definedName>
    <definedName name="magie_interactive_et_jeux_divers_no174_3" localSheetId="3">VERIFMAJ!$A$1:$B$188</definedName>
    <definedName name="magie_interactive_et_jeux_divers_no174_30" localSheetId="3">VERIFMAJ!$A$1:$B$188</definedName>
    <definedName name="magie_interactive_et_jeux_divers_no174_31" localSheetId="3">VERIFMAJ!$A$1:$B$188</definedName>
    <definedName name="magie_interactive_et_jeux_divers_no174_32" localSheetId="3">VERIFMAJ!$A$1:$B$176</definedName>
    <definedName name="magie_interactive_et_jeux_divers_no174_33" localSheetId="3">VERIFMAJ!$A$1:$B$176</definedName>
    <definedName name="magie_interactive_et_jeux_divers_no174_34" localSheetId="3">VERIFMAJ!$A$1:$B$176</definedName>
    <definedName name="magie_interactive_et_jeux_divers_no174_35" localSheetId="3">VERIFMAJ!$A$1:$B$176</definedName>
    <definedName name="magie_interactive_et_jeux_divers_no174_36" localSheetId="3">VERIFMAJ!$A$1:$B$179</definedName>
    <definedName name="magie_interactive_et_jeux_divers_no174_37" localSheetId="3">VERIFMAJ!$A$1:$B$179</definedName>
    <definedName name="magie_interactive_et_jeux_divers_no174_38" localSheetId="3">VERIFMAJ!$A$1:$B$179</definedName>
    <definedName name="magie_interactive_et_jeux_divers_no174_39" localSheetId="3">VERIFMAJ!$A$1:$B$179</definedName>
    <definedName name="magie_interactive_et_jeux_divers_no174_4" localSheetId="3">VERIFMAJ!$A$1:$B$188</definedName>
    <definedName name="magie_interactive_et_jeux_divers_no174_40" localSheetId="3">VERIFMAJ!$A$1:$B$181</definedName>
    <definedName name="magie_interactive_et_jeux_divers_no174_41" localSheetId="3">VERIFMAJ!$A$1:$B$181</definedName>
    <definedName name="magie_interactive_et_jeux_divers_no174_42" localSheetId="3">VERIFMAJ!$A$1:$B$181</definedName>
    <definedName name="magie_interactive_et_jeux_divers_no174_43" localSheetId="3">VERIFMAJ!$A$1:$B$181</definedName>
    <definedName name="magie_interactive_et_jeux_divers_no174_44" localSheetId="3">VERIFMAJ!$A$1:$B$183</definedName>
    <definedName name="magie_interactive_et_jeux_divers_no174_45" localSheetId="3">VERIFMAJ!$A$1:$B$183</definedName>
    <definedName name="magie_interactive_et_jeux_divers_no174_46" localSheetId="3">VERIFMAJ!$A$1:$B$183</definedName>
    <definedName name="magie_interactive_et_jeux_divers_no174_47" localSheetId="3">VERIFMAJ!$A$1:$B$183</definedName>
    <definedName name="magie_interactive_et_jeux_divers_no174_48" localSheetId="3">VERIFMAJ!$A$1:$B$183</definedName>
    <definedName name="magie_interactive_et_jeux_divers_no174_49" localSheetId="3">VERIFMAJ!$A$1:$B$183</definedName>
    <definedName name="magie_interactive_et_jeux_divers_no174_5" localSheetId="3">VERIFMAJ!$A$1:$B$188</definedName>
    <definedName name="magie_interactive_et_jeux_divers_no174_50" localSheetId="3">VERIFMAJ!$A$1:$B$173</definedName>
    <definedName name="magie_interactive_et_jeux_divers_no174_51" localSheetId="3">VERIFMAJ!$A$1:$B$173</definedName>
    <definedName name="magie_interactive_et_jeux_divers_no174_6" localSheetId="3">VERIFMAJ!$A$1:$B$188</definedName>
    <definedName name="magie_interactive_et_jeux_divers_no174_7" localSheetId="3">VERIFMAJ!$A$1:$B$188</definedName>
    <definedName name="magie_interactive_et_jeux_divers_no174_8" localSheetId="3">VERIFMAJ!$A$1:$B$188</definedName>
    <definedName name="magie_interactive_et_jeux_divers_no174_9" localSheetId="3">VERIFMAJ!$A$1:$B$188</definedName>
    <definedName name="MotPasse">Admin!$J$10:$J$31</definedName>
    <definedName name="_xlnm.Print_Area" localSheetId="0">'simul impots'!$A$1:$F$74</definedName>
  </definedNames>
  <calcPr calcId="125725"/>
</workbook>
</file>

<file path=xl/calcChain.xml><?xml version="1.0" encoding="utf-8"?>
<calcChain xmlns="http://schemas.openxmlformats.org/spreadsheetml/2006/main">
  <c r="F161" i="4"/>
  <c r="F160"/>
  <c r="F159"/>
  <c r="K59" i="5"/>
  <c r="K52"/>
  <c r="K43"/>
  <c r="H75" i="1"/>
  <c r="B78"/>
  <c r="O4" i="5"/>
  <c r="N4"/>
  <c r="F8" i="1"/>
  <c r="D71" i="3"/>
  <c r="A63" i="1"/>
  <c r="B70"/>
  <c r="B54" i="3"/>
  <c r="B60" i="1" l="1"/>
  <c r="B58"/>
  <c r="B56"/>
  <c r="B54"/>
  <c r="B52"/>
  <c r="A59"/>
  <c r="A57"/>
  <c r="A55"/>
  <c r="A53"/>
  <c r="A67" l="1"/>
  <c r="E53" i="3" l="1"/>
  <c r="C22"/>
  <c r="C21"/>
  <c r="D53"/>
  <c r="C51"/>
  <c r="B51"/>
  <c r="A50"/>
  <c r="A66" i="1" s="1"/>
  <c r="B47" i="3"/>
  <c r="B49"/>
  <c r="A74"/>
  <c r="A76"/>
  <c r="A77"/>
  <c r="A78"/>
  <c r="A80"/>
  <c r="A40"/>
  <c r="A38"/>
  <c r="A75" s="1"/>
  <c r="J11"/>
  <c r="A44"/>
  <c r="A81" s="1"/>
  <c r="A42"/>
  <c r="A79" s="1"/>
  <c r="S23" i="5"/>
  <c r="K18" l="1"/>
  <c r="F19" i="1"/>
  <c r="G20"/>
  <c r="G21"/>
  <c r="G19"/>
  <c r="S24" i="5"/>
  <c r="R24"/>
  <c r="Q24"/>
  <c r="C9"/>
  <c r="M47"/>
  <c r="J48" s="1"/>
  <c r="F11"/>
  <c r="A46"/>
  <c r="A9"/>
  <c r="A20"/>
  <c r="F39"/>
  <c r="F13"/>
  <c r="F12"/>
  <c r="F8"/>
  <c r="F7"/>
  <c r="F6"/>
  <c r="F48"/>
  <c r="B39" i="1"/>
  <c r="H49" i="5"/>
  <c r="H52" s="1"/>
  <c r="H40"/>
  <c r="H43" s="1"/>
  <c r="A68"/>
  <c r="A37"/>
  <c r="D65"/>
  <c r="K38"/>
  <c r="F38"/>
  <c r="H11" i="2"/>
  <c r="B32" i="5"/>
  <c r="D28" s="1"/>
  <c r="C31"/>
  <c r="C30"/>
  <c r="C29"/>
  <c r="C13"/>
  <c r="B36"/>
  <c r="A24"/>
  <c r="A13"/>
  <c r="F5"/>
  <c r="F9"/>
  <c r="K47" l="1"/>
  <c r="M38"/>
  <c r="J39" s="1"/>
  <c r="K40" s="1"/>
  <c r="B34"/>
  <c r="H50"/>
  <c r="C32"/>
  <c r="F15"/>
  <c r="F20"/>
  <c r="F10"/>
  <c r="C21" s="1"/>
  <c r="F14"/>
  <c r="F19"/>
  <c r="F24"/>
  <c r="C17"/>
  <c r="C18"/>
  <c r="C16"/>
  <c r="C15"/>
  <c r="C14"/>
  <c r="R5"/>
  <c r="R20" s="1"/>
  <c r="Q5"/>
  <c r="Q20" s="1"/>
  <c r="P5"/>
  <c r="P20" s="1"/>
  <c r="F47"/>
  <c r="G44" i="2"/>
  <c r="F60" i="5"/>
  <c r="F61"/>
  <c r="F62"/>
  <c r="F63"/>
  <c r="F59"/>
  <c r="G58"/>
  <c r="F58"/>
  <c r="E59"/>
  <c r="E60"/>
  <c r="E61"/>
  <c r="E62"/>
  <c r="E63"/>
  <c r="D60"/>
  <c r="D61"/>
  <c r="D62"/>
  <c r="D63"/>
  <c r="D59"/>
  <c r="D58"/>
  <c r="C66"/>
  <c r="C65"/>
  <c r="C60"/>
  <c r="C61"/>
  <c r="C62"/>
  <c r="C63"/>
  <c r="C59"/>
  <c r="C58"/>
  <c r="A66"/>
  <c r="A65"/>
  <c r="A64"/>
  <c r="A61"/>
  <c r="A62"/>
  <c r="A63"/>
  <c r="A60"/>
  <c r="A59"/>
  <c r="A58"/>
  <c r="G57"/>
  <c r="A16"/>
  <c r="A5"/>
  <c r="J17"/>
  <c r="J16"/>
  <c r="J15"/>
  <c r="J14"/>
  <c r="J13"/>
  <c r="J12"/>
  <c r="J11"/>
  <c r="J10"/>
  <c r="J9"/>
  <c r="J8"/>
  <c r="J7"/>
  <c r="J6"/>
  <c r="A34" i="3"/>
  <c r="E48" i="2"/>
  <c r="E49"/>
  <c r="E50"/>
  <c r="E47"/>
  <c r="F47"/>
  <c r="F48"/>
  <c r="F49"/>
  <c r="F50"/>
  <c r="F46"/>
  <c r="E46"/>
  <c r="D47"/>
  <c r="D48"/>
  <c r="D49"/>
  <c r="D50"/>
  <c r="D46"/>
  <c r="C47"/>
  <c r="C48"/>
  <c r="C49"/>
  <c r="C50"/>
  <c r="C46"/>
  <c r="C53"/>
  <c r="C52"/>
  <c r="A53"/>
  <c r="A52"/>
  <c r="A51"/>
  <c r="A48"/>
  <c r="A49"/>
  <c r="A47"/>
  <c r="A46"/>
  <c r="F45"/>
  <c r="D45"/>
  <c r="C45"/>
  <c r="A45"/>
  <c r="L5" i="3"/>
  <c r="J26"/>
  <c r="J27"/>
  <c r="J25"/>
  <c r="J24"/>
  <c r="E72"/>
  <c r="D72"/>
  <c r="S20" i="5" l="1"/>
  <c r="E34"/>
  <c r="H34" s="1"/>
  <c r="K41" s="1"/>
  <c r="H42" s="1"/>
  <c r="L62"/>
  <c r="K62"/>
  <c r="K64" s="1"/>
  <c r="F17"/>
  <c r="F18"/>
  <c r="F16"/>
  <c r="F23"/>
  <c r="F21"/>
  <c r="F22"/>
  <c r="F49"/>
  <c r="C23"/>
  <c r="C24"/>
  <c r="C22"/>
  <c r="A1" i="2"/>
  <c r="A41"/>
  <c r="H31" i="5" l="1"/>
  <c r="E31"/>
  <c r="A30"/>
  <c r="A31"/>
  <c r="F50"/>
  <c r="F51"/>
  <c r="F52"/>
  <c r="K49"/>
  <c r="K50" s="1"/>
  <c r="D15"/>
  <c r="D16"/>
  <c r="D18"/>
  <c r="L4" i="3"/>
  <c r="L3"/>
  <c r="H19" i="1"/>
  <c r="J13" i="3"/>
  <c r="J12"/>
  <c r="B10" l="1"/>
  <c r="A72"/>
  <c r="F84"/>
  <c r="C71"/>
  <c r="E84" s="1"/>
  <c r="B71"/>
  <c r="D84" s="1"/>
  <c r="A68"/>
  <c r="C49"/>
  <c r="A47"/>
  <c r="A45"/>
  <c r="A82" s="1"/>
  <c r="E35"/>
  <c r="D35"/>
  <c r="A35"/>
  <c r="C28"/>
  <c r="B28"/>
  <c r="B22"/>
  <c r="B21"/>
  <c r="A21"/>
  <c r="C20"/>
  <c r="B20"/>
  <c r="A20"/>
  <c r="C19"/>
  <c r="B19"/>
  <c r="A19"/>
  <c r="C18"/>
  <c r="B18"/>
  <c r="A18"/>
  <c r="C17"/>
  <c r="B17"/>
  <c r="A17"/>
  <c r="C16"/>
  <c r="B16"/>
  <c r="A16"/>
  <c r="C15"/>
  <c r="B15"/>
  <c r="A15"/>
  <c r="C14"/>
  <c r="B14"/>
  <c r="A14"/>
  <c r="C13"/>
  <c r="B13"/>
  <c r="A13"/>
  <c r="C12"/>
  <c r="B12"/>
  <c r="A12"/>
  <c r="C11"/>
  <c r="B11"/>
  <c r="A11"/>
  <c r="C10"/>
  <c r="A10"/>
  <c r="C9"/>
  <c r="B9"/>
  <c r="B8"/>
  <c r="B65" i="1"/>
  <c r="C39"/>
  <c r="B63"/>
  <c r="A19"/>
  <c r="A20"/>
  <c r="C18"/>
  <c r="H8"/>
  <c r="A15"/>
  <c r="D18"/>
  <c r="D21" s="1"/>
  <c r="K36" i="2"/>
  <c r="A36"/>
  <c r="E30" i="5" l="1"/>
  <c r="F30" s="1"/>
  <c r="H29"/>
  <c r="I29" s="1"/>
  <c r="H30"/>
  <c r="A21" i="1"/>
  <c r="M5" i="2"/>
  <c r="K9"/>
  <c r="N12" s="1"/>
  <c r="A9"/>
  <c r="F31" i="5" l="1"/>
  <c r="I30"/>
  <c r="K14" i="2"/>
  <c r="A14"/>
  <c r="A15" s="1"/>
  <c r="D12"/>
  <c r="C6"/>
  <c r="C23"/>
  <c r="C25" s="1"/>
  <c r="M6"/>
  <c r="A6"/>
  <c r="R11"/>
  <c r="K11"/>
  <c r="N11" s="1"/>
  <c r="A11"/>
  <c r="D11" s="1"/>
  <c r="K6"/>
  <c r="D6"/>
  <c r="C13" i="1"/>
  <c r="A14"/>
  <c r="N5" i="2"/>
  <c r="N6"/>
  <c r="D5"/>
  <c r="A18" i="1"/>
  <c r="H74"/>
  <c r="F4"/>
  <c r="H4" s="1"/>
  <c r="A22" s="1"/>
  <c r="K16" i="2"/>
  <c r="A16"/>
  <c r="I31" i="5" l="1"/>
  <c r="I32" s="1"/>
  <c r="K17" i="2"/>
  <c r="D17"/>
  <c r="A17"/>
  <c r="N17"/>
  <c r="K15"/>
  <c r="G15"/>
  <c r="D15"/>
  <c r="Q10"/>
  <c r="G10"/>
  <c r="E11"/>
  <c r="O11"/>
  <c r="R16"/>
  <c r="H16"/>
  <c r="O16"/>
  <c r="M23"/>
  <c r="P3"/>
  <c r="F3"/>
  <c r="A3" i="1"/>
  <c r="A3" i="2" s="1"/>
  <c r="B41" i="1"/>
  <c r="B46" s="1"/>
  <c r="A16"/>
  <c r="A7"/>
  <c r="K3" i="2" s="1"/>
  <c r="D12" i="1"/>
  <c r="A13"/>
  <c r="D63" l="1"/>
  <c r="H32" i="5"/>
  <c r="C24" i="2"/>
  <c r="D16"/>
  <c r="N16"/>
  <c r="Q15"/>
  <c r="E16"/>
  <c r="E3"/>
  <c r="F29" l="1"/>
  <c r="A31" s="1"/>
  <c r="C26"/>
  <c r="C27"/>
  <c r="M24"/>
  <c r="C34"/>
  <c r="E51" i="1"/>
  <c r="H12"/>
  <c r="F51"/>
  <c r="D51"/>
  <c r="C25"/>
  <c r="E25" s="1"/>
  <c r="B25"/>
  <c r="D25" s="1"/>
  <c r="B18"/>
  <c r="B24"/>
  <c r="P29" i="2" l="1"/>
  <c r="K31" s="1"/>
  <c r="N31" s="1"/>
  <c r="M26"/>
  <c r="M27" s="1"/>
  <c r="M25"/>
  <c r="M34" s="1"/>
  <c r="H51" i="5"/>
  <c r="H53" s="1"/>
  <c r="D31" i="2"/>
  <c r="I39"/>
  <c r="B42" i="1" s="1"/>
  <c r="O3" i="2"/>
  <c r="S39" l="1"/>
  <c r="S38" s="1"/>
  <c r="A54" i="1"/>
  <c r="C65"/>
  <c r="C67" s="1"/>
  <c r="F18"/>
  <c r="D19"/>
  <c r="D17"/>
  <c r="F20"/>
  <c r="F21"/>
  <c r="N3" i="2"/>
  <c r="M3"/>
  <c r="L3"/>
  <c r="D3"/>
  <c r="C3"/>
  <c r="B3"/>
  <c r="D20" i="1" l="1"/>
  <c r="A12"/>
  <c r="E15"/>
  <c r="C15"/>
  <c r="F38"/>
  <c r="F27"/>
  <c r="F28"/>
  <c r="F29"/>
  <c r="F30"/>
  <c r="F31"/>
  <c r="F32"/>
  <c r="F26"/>
  <c r="F2"/>
  <c r="A60"/>
  <c r="A58"/>
  <c r="A56"/>
  <c r="A91" i="3" l="1"/>
  <c r="A57" i="5" s="1"/>
  <c r="O3"/>
  <c r="N5" s="1"/>
  <c r="A1" i="1"/>
  <c r="C41"/>
  <c r="E39"/>
  <c r="C23" i="3" s="1"/>
  <c r="F34" i="1"/>
  <c r="F33"/>
  <c r="A44" i="2" l="1"/>
  <c r="N6" i="5"/>
  <c r="P6" s="1"/>
  <c r="C42" i="1"/>
  <c r="C46"/>
  <c r="E63" s="1"/>
  <c r="E41"/>
  <c r="E42" s="1"/>
  <c r="F37"/>
  <c r="F36"/>
  <c r="A37"/>
  <c r="A36"/>
  <c r="A34"/>
  <c r="A35"/>
  <c r="A33"/>
  <c r="A32"/>
  <c r="A31"/>
  <c r="A30"/>
  <c r="A29"/>
  <c r="A28"/>
  <c r="A27"/>
  <c r="A26"/>
  <c r="A51"/>
  <c r="R6" i="5" l="1"/>
  <c r="N7"/>
  <c r="R7" s="1"/>
  <c r="I6"/>
  <c r="Q6"/>
  <c r="S6" s="1"/>
  <c r="K39" i="2"/>
  <c r="C26" i="3"/>
  <c r="C25"/>
  <c r="C43" i="1"/>
  <c r="C45" s="1"/>
  <c r="F35"/>
  <c r="F39" s="1"/>
  <c r="D39"/>
  <c r="B23" i="3" s="1"/>
  <c r="I7" i="5" l="1"/>
  <c r="Q7"/>
  <c r="N8"/>
  <c r="R8" s="1"/>
  <c r="Q8"/>
  <c r="P7"/>
  <c r="C27" i="3"/>
  <c r="C29" s="1"/>
  <c r="C48" i="1"/>
  <c r="C47"/>
  <c r="E43"/>
  <c r="E45" s="1"/>
  <c r="D41"/>
  <c r="D42" s="1"/>
  <c r="H42" s="1"/>
  <c r="P8" i="5" l="1"/>
  <c r="S8" s="1"/>
  <c r="I8"/>
  <c r="S7"/>
  <c r="N9"/>
  <c r="R9" s="1"/>
  <c r="E60" i="1"/>
  <c r="E61" s="1"/>
  <c r="E70" i="3"/>
  <c r="C70"/>
  <c r="B25"/>
  <c r="A39" i="2"/>
  <c r="E58" i="1"/>
  <c r="E59" s="1"/>
  <c r="E56"/>
  <c r="E57" s="1"/>
  <c r="E54"/>
  <c r="E55" s="1"/>
  <c r="E52"/>
  <c r="E53" s="1"/>
  <c r="I9" i="5" l="1"/>
  <c r="Q9"/>
  <c r="N10"/>
  <c r="I10" s="1"/>
  <c r="P9"/>
  <c r="E62" i="1"/>
  <c r="E77" i="3"/>
  <c r="E78" s="1"/>
  <c r="E79"/>
  <c r="E80" s="1"/>
  <c r="E75"/>
  <c r="E76" s="1"/>
  <c r="E81"/>
  <c r="E82" s="1"/>
  <c r="B26"/>
  <c r="B27" s="1"/>
  <c r="B29" s="1"/>
  <c r="D43" i="1"/>
  <c r="D45" s="1"/>
  <c r="Q10" i="5" l="1"/>
  <c r="P10"/>
  <c r="S9"/>
  <c r="N11"/>
  <c r="I11" s="1"/>
  <c r="R11"/>
  <c r="Q11"/>
  <c r="P11"/>
  <c r="R10"/>
  <c r="E64" i="1"/>
  <c r="E65" s="1"/>
  <c r="E66" s="1"/>
  <c r="F45"/>
  <c r="D70" i="3"/>
  <c r="S10" i="5" l="1"/>
  <c r="N12"/>
  <c r="R12" s="1"/>
  <c r="S11"/>
  <c r="F46" i="1"/>
  <c r="C30" i="3" s="1"/>
  <c r="E47" s="1"/>
  <c r="B67" i="1"/>
  <c r="F70" i="3"/>
  <c r="I12" i="5" l="1"/>
  <c r="Q12"/>
  <c r="P12"/>
  <c r="S12" s="1"/>
  <c r="N13"/>
  <c r="Q13" s="1"/>
  <c r="F48" i="1"/>
  <c r="F58" s="1"/>
  <c r="F59" s="1"/>
  <c r="C31" i="3"/>
  <c r="F47" i="1"/>
  <c r="C32" i="3"/>
  <c r="F72" s="1"/>
  <c r="F63" i="1"/>
  <c r="B30" i="3"/>
  <c r="F79"/>
  <c r="F80" s="1"/>
  <c r="F75"/>
  <c r="F76" s="1"/>
  <c r="F77"/>
  <c r="F78" s="1"/>
  <c r="F81"/>
  <c r="F82" s="1"/>
  <c r="E67" i="1"/>
  <c r="E68" s="1"/>
  <c r="E70" s="1"/>
  <c r="E71" s="1"/>
  <c r="R13" i="5" l="1"/>
  <c r="N14"/>
  <c r="Q14" s="1"/>
  <c r="P13"/>
  <c r="I13"/>
  <c r="E42" i="3"/>
  <c r="E43" s="1"/>
  <c r="F60" i="1"/>
  <c r="F61" s="1"/>
  <c r="F56"/>
  <c r="F57" s="1"/>
  <c r="F54"/>
  <c r="E44" i="3"/>
  <c r="E45" s="1"/>
  <c r="E38"/>
  <c r="E39" s="1"/>
  <c r="E40"/>
  <c r="E41" s="1"/>
  <c r="D47"/>
  <c r="B31"/>
  <c r="B32"/>
  <c r="F55" i="1"/>
  <c r="P14" i="5" l="1"/>
  <c r="S14" s="1"/>
  <c r="N15"/>
  <c r="I15" s="1"/>
  <c r="S13"/>
  <c r="R14"/>
  <c r="I14"/>
  <c r="D38" i="3"/>
  <c r="D39" s="1"/>
  <c r="D40"/>
  <c r="D41" s="1"/>
  <c r="D44"/>
  <c r="D45" s="1"/>
  <c r="D42"/>
  <c r="D43" s="1"/>
  <c r="I38" i="2"/>
  <c r="B43" i="1"/>
  <c r="B45" s="1"/>
  <c r="B70" i="3" s="1"/>
  <c r="Q15" i="5" l="1"/>
  <c r="P15"/>
  <c r="N16"/>
  <c r="R16" s="1"/>
  <c r="R15"/>
  <c r="B48" i="1"/>
  <c r="B47"/>
  <c r="I16" i="5" l="1"/>
  <c r="S15"/>
  <c r="N17"/>
  <c r="N18" s="1"/>
  <c r="Q16"/>
  <c r="P16"/>
  <c r="D75" i="3"/>
  <c r="D76" s="1"/>
  <c r="D77"/>
  <c r="D78" s="1"/>
  <c r="D79"/>
  <c r="D80" s="1"/>
  <c r="D81"/>
  <c r="D82" s="1"/>
  <c r="D56" i="1"/>
  <c r="D57" s="1"/>
  <c r="D52"/>
  <c r="D53" s="1"/>
  <c r="D54"/>
  <c r="D58"/>
  <c r="D60"/>
  <c r="I17" i="5" l="1"/>
  <c r="R17"/>
  <c r="R18" s="1"/>
  <c r="D17" s="1"/>
  <c r="S16"/>
  <c r="Q17"/>
  <c r="Q18" s="1"/>
  <c r="P17"/>
  <c r="D61" i="1"/>
  <c r="D55"/>
  <c r="D59"/>
  <c r="S17" i="5" l="1"/>
  <c r="S18" s="1"/>
  <c r="G9" s="1"/>
  <c r="P18"/>
  <c r="D62" i="1"/>
  <c r="G14" i="5" l="1"/>
  <c r="D21"/>
  <c r="E29"/>
  <c r="D14"/>
  <c r="D13"/>
  <c r="C20"/>
  <c r="D67" i="1"/>
  <c r="A36" i="3"/>
  <c r="A73" s="1"/>
  <c r="F52" i="1"/>
  <c r="F53" s="1"/>
  <c r="F62" s="1"/>
  <c r="G19" i="5" l="1"/>
  <c r="D22"/>
  <c r="F29"/>
  <c r="F32" s="1"/>
  <c r="H41" s="1"/>
  <c r="H44" s="1"/>
  <c r="H68" s="1"/>
  <c r="E32"/>
  <c r="E73" i="3"/>
  <c r="E74" s="1"/>
  <c r="E83" s="1"/>
  <c r="E85" s="1"/>
  <c r="F73"/>
  <c r="F74" s="1"/>
  <c r="F83" s="1"/>
  <c r="F85" s="1"/>
  <c r="F64" i="1" s="1"/>
  <c r="H62" s="1"/>
  <c r="D73" i="3"/>
  <c r="D74" s="1"/>
  <c r="D83" s="1"/>
  <c r="D85" s="1"/>
  <c r="D64" i="1" s="1"/>
  <c r="D65" s="1"/>
  <c r="D66" s="1"/>
  <c r="D68" s="1"/>
  <c r="D70" s="1"/>
  <c r="D71" s="1"/>
  <c r="E36" i="3"/>
  <c r="E37" s="1"/>
  <c r="E46" s="1"/>
  <c r="D36"/>
  <c r="D37" s="1"/>
  <c r="D46" s="1"/>
  <c r="G24" i="5" l="1"/>
  <c r="D24" s="1"/>
  <c r="D23"/>
  <c r="E48" i="3"/>
  <c r="E49" s="1"/>
  <c r="E50" s="1"/>
  <c r="E54" s="1"/>
  <c r="D48"/>
  <c r="D49" s="1"/>
  <c r="D50" s="1"/>
  <c r="D51" s="1"/>
  <c r="H63" i="1"/>
  <c r="H64"/>
  <c r="E51" i="3"/>
  <c r="F65" i="1"/>
  <c r="F66" s="1"/>
  <c r="E52" i="3" l="1"/>
  <c r="F67" i="1"/>
  <c r="F68" s="1"/>
  <c r="D54" i="3"/>
  <c r="A53"/>
  <c r="D52"/>
  <c r="A58"/>
  <c r="E55"/>
  <c r="F70" i="1" l="1"/>
  <c r="F71" s="1"/>
  <c r="H71" s="1"/>
  <c r="A69"/>
  <c r="A56" i="3"/>
  <c r="D55"/>
  <c r="A57"/>
  <c r="A72" i="1" l="1"/>
  <c r="A74" s="1"/>
  <c r="A73" l="1"/>
</calcChain>
</file>

<file path=xl/comments1.xml><?xml version="1.0" encoding="utf-8"?>
<comments xmlns="http://schemas.openxmlformats.org/spreadsheetml/2006/main">
  <authors>
    <author>Sebastien</author>
    <author>Steven</author>
    <author>steven lemer</author>
  </authors>
  <commentList>
    <comment ref="F1" authorId="0">
      <text>
        <r>
          <rPr>
            <b/>
            <sz val="8"/>
            <color indexed="81"/>
            <rFont val="Tahoma"/>
            <family val="2"/>
          </rPr>
          <t>Merci de renseigner l'année des revenus perçus en N &amp; imposables en N+1</t>
        </r>
      </text>
    </comment>
    <comment ref="A6" authorId="1">
      <text>
        <r>
          <rPr>
            <b/>
            <sz val="9"/>
            <color indexed="81"/>
            <rFont val="Tahoma"/>
            <family val="2"/>
          </rPr>
          <t>au 1er Janvier N</t>
        </r>
      </text>
    </comment>
    <comment ref="A10" authorId="1">
      <text>
        <r>
          <rPr>
            <b/>
            <sz val="9"/>
            <color indexed="81"/>
            <rFont val="Tahoma"/>
            <family val="2"/>
          </rPr>
          <t>au 1er Janvier N</t>
        </r>
      </text>
    </comment>
    <comment ref="D18" authorId="2">
      <text>
        <r>
          <rPr>
            <i/>
            <sz val="9"/>
            <color indexed="81"/>
            <rFont val="Tahoma"/>
            <family val="2"/>
          </rPr>
          <t xml:space="preserve">ces montants sont divisés par 2 si l'enfant mineur à charge est en résidence alternée.
</t>
        </r>
        <r>
          <rPr>
            <b/>
            <u/>
            <sz val="9"/>
            <color indexed="81"/>
            <rFont val="Tahoma"/>
            <family val="2"/>
          </rPr>
          <t>Merci d'indiquer alors 0,50</t>
        </r>
        <r>
          <rPr>
            <b/>
            <i/>
            <sz val="9"/>
            <color indexed="81"/>
            <rFont val="Tahoma"/>
            <family val="2"/>
          </rPr>
          <t xml:space="preserve">
</t>
        </r>
      </text>
    </comment>
    <comment ref="F18" authorId="2">
      <text>
        <r>
          <rPr>
            <b/>
            <sz val="9"/>
            <color indexed="81"/>
            <rFont val="Tahoma"/>
            <family val="2"/>
          </rPr>
          <t>ces montants sont divisés par 2 si l'enfant mineur à charge est en résidence alternée.</t>
        </r>
      </text>
    </comment>
    <comment ref="A21" authorId="1">
      <text>
        <r>
          <rPr>
            <b/>
            <sz val="9"/>
            <color indexed="81"/>
            <rFont val="Tahoma"/>
            <family val="2"/>
          </rPr>
          <t xml:space="preserve">indiquez le nombre de parts totales supplémentaires que vous bénéficiez </t>
        </r>
        <r>
          <rPr>
            <b/>
            <u/>
            <sz val="9"/>
            <color indexed="81"/>
            <rFont val="Tahoma"/>
            <family val="2"/>
          </rPr>
          <t>hors</t>
        </r>
        <r>
          <rPr>
            <b/>
            <sz val="9"/>
            <color indexed="81"/>
            <rFont val="Tahoma"/>
            <family val="2"/>
          </rPr>
          <t xml:space="preserve"> vos enfants à charges précédemment renseignés &amp; ne pas inclure votre part 
</t>
        </r>
      </text>
    </comment>
    <comment ref="D21" authorId="2">
      <text>
        <r>
          <rPr>
            <b/>
            <sz val="9"/>
            <color indexed="81"/>
            <rFont val="Tahoma"/>
            <family val="2"/>
          </rPr>
          <t>de moins de 25 ans, poursuivant son cursus scolaire et encore rattaché au Foyer Fiscal au 31/12 de l'année d'imposition</t>
        </r>
      </text>
    </comment>
    <comment ref="A38" authorId="1">
      <text>
        <r>
          <rPr>
            <b/>
            <sz val="9"/>
            <color indexed="81"/>
            <rFont val="Tahoma"/>
            <family val="2"/>
          </rPr>
          <t>Participation / Interessement perçus sur le C/C au cours de l'année N (somme à déclarer)</t>
        </r>
      </text>
    </comment>
  </commentList>
</comments>
</file>

<file path=xl/comments2.xml><?xml version="1.0" encoding="utf-8"?>
<comments xmlns="http://schemas.openxmlformats.org/spreadsheetml/2006/main">
  <authors>
    <author>Steven</author>
    <author>Yoshi</author>
    <author>steven lemer</author>
  </authors>
  <commentList>
    <comment ref="A10" authorId="0">
      <text>
        <r>
          <rPr>
            <sz val="9"/>
            <color indexed="81"/>
            <rFont val="Tahoma"/>
            <charset val="1"/>
          </rPr>
          <t xml:space="preserve">Vous pouvez également utiliser le lien vers MAPPY ou Google MAPS… pour calculer la distance Domicile-Travail.
</t>
        </r>
      </text>
    </comment>
    <comment ref="A12" authorId="1">
      <text>
        <r>
          <rPr>
            <sz val="9"/>
            <color indexed="81"/>
            <rFont val="Tahoma"/>
            <family val="2"/>
          </rPr>
          <t xml:space="preserve">Conservez également vos plannings de votre activité professionnelle pour justifier des jours travaillés en cas de frais liés (péage, repas…)
</t>
        </r>
      </text>
    </comment>
    <comment ref="A15" authorId="0">
      <text>
        <r>
          <rPr>
            <sz val="9"/>
            <color indexed="81"/>
            <rFont val="Tahoma"/>
            <charset val="1"/>
          </rPr>
          <t xml:space="preserve">Vous pouvez également utiliser le lien vers MAPPY ou Google MAPS… pour calculer la distance Domicile-Travail.
</t>
        </r>
      </text>
    </comment>
    <comment ref="A17" authorId="1">
      <text>
        <r>
          <rPr>
            <sz val="9"/>
            <color indexed="81"/>
            <rFont val="Tahoma"/>
            <family val="2"/>
          </rPr>
          <t xml:space="preserve">Conservez également vos plannings de votre activité professionnelle pour justifier des jours travaillés en cas de frais liés (péage, repas…)
</t>
        </r>
      </text>
    </comment>
    <comment ref="A34" authorId="1">
      <text>
        <r>
          <rPr>
            <sz val="9"/>
            <color indexed="81"/>
            <rFont val="Tahoma"/>
            <family val="2"/>
          </rPr>
          <t xml:space="preserve">règle de proportionnalité selon le nbr de km pro parcourus 
</t>
        </r>
        <r>
          <rPr>
            <b/>
            <sz val="9"/>
            <color indexed="10"/>
            <rFont val="Tahoma"/>
            <family val="2"/>
          </rPr>
          <t>Nécéssite de connaitre le km au 01/01/N et au 31/12/N</t>
        </r>
      </text>
    </comment>
    <comment ref="A35" authorId="1">
      <text>
        <r>
          <rPr>
            <sz val="9"/>
            <color indexed="81"/>
            <rFont val="Tahoma"/>
            <family val="2"/>
          </rPr>
          <t>Ces frais correspondent aux frais de péage que vous avez dû payer lors de vos trajets quotidiens 'Domicile-Travail-Domicile' restants à justifier à l'administration fiscale (factures, tickets CB ...)
Les frais doivent être cohérents avec vos jours travaillés.</t>
        </r>
      </text>
    </comment>
    <comment ref="A36" authorId="2">
      <text>
        <r>
          <rPr>
            <b/>
            <sz val="9"/>
            <color indexed="81"/>
            <rFont val="Tahoma"/>
            <family val="2"/>
          </rPr>
          <t>100% du montant réel peut etre déduit si justificatif à l'apui, sinon le panier repas sera du montant indiqué ci contre. Attention, si vous disposez d'un restaurant d'entreprise et/ou d'avantage comme des chèques déjeuner / tickets restaurant, cette partie est à déduire, en cas de résultat négatif, vous ne pourrez rien déduire sur cette catégorie.</t>
        </r>
        <r>
          <rPr>
            <sz val="9"/>
            <color indexed="81"/>
            <rFont val="Tahoma"/>
            <family val="2"/>
          </rPr>
          <t xml:space="preserve">
</t>
        </r>
        <r>
          <rPr>
            <i/>
            <sz val="9"/>
            <color indexed="81"/>
            <rFont val="Tahoma"/>
            <family val="2"/>
          </rPr>
          <t>2 exemples :</t>
        </r>
        <r>
          <rPr>
            <sz val="9"/>
            <color indexed="81"/>
            <rFont val="Tahoma"/>
            <family val="2"/>
          </rPr>
          <t xml:space="preserve">
</t>
        </r>
        <r>
          <rPr>
            <u/>
            <sz val="9"/>
            <color indexed="81"/>
            <rFont val="Tahoma"/>
            <family val="2"/>
          </rPr>
          <t xml:space="preserve">
avec deduction possible</t>
        </r>
        <r>
          <rPr>
            <sz val="9"/>
            <color indexed="81"/>
            <rFont val="Tahoma"/>
            <family val="2"/>
          </rPr>
          <t xml:space="preserve">
Panier Repas : 4,65€ (déterminé par les Impôts basé sur le cout d'un repas à domicile)
CD/TR : 5€ (participation employeur 2,65€ - participation salarié 2,35€)
le calcul est le suivant: 4,65 - 2,65 = 2,00 € * nbr de jours entiers travaillé (avec repas le midi)
ici la part employeur (faible) permet de déduire une partie de panier estimé par les impôts
également du au faible montant de la valeur du CD/TR
</t>
        </r>
        <r>
          <rPr>
            <u/>
            <sz val="9"/>
            <color indexed="81"/>
            <rFont val="Tahoma"/>
            <family val="2"/>
          </rPr>
          <t xml:space="preserve">sans déduction possible
</t>
        </r>
        <r>
          <rPr>
            <sz val="9"/>
            <color indexed="81"/>
            <rFont val="Tahoma"/>
            <family val="2"/>
          </rPr>
          <t xml:space="preserve">Panier Repas : 4,65€ 
CD/TR : 9€ (participation employeur 5€ - participation salarié 4€)
4,65 - 5 = -0,35 &gt;&gt;&gt; l'avantage est plus conséquent avec le CD/TR (via la participation de votre employeur / valeur faciale du CD/TR) par rapport au panier estimé par les impôts (4,65€) -- donc pas de déductibilité possible
</t>
        </r>
      </text>
    </comment>
    <comment ref="A37" authorId="1">
      <text>
        <r>
          <rPr>
            <sz val="9"/>
            <color indexed="81"/>
            <rFont val="Tahoma"/>
            <family val="2"/>
          </rPr>
          <t>Utilisez la zone 'Commentaires' pour justifier des autres frais déduits.</t>
        </r>
      </text>
    </comment>
  </commentList>
</comments>
</file>

<file path=xl/comments3.xml><?xml version="1.0" encoding="utf-8"?>
<comments xmlns="http://schemas.openxmlformats.org/spreadsheetml/2006/main">
  <authors>
    <author>steven lemer</author>
  </authors>
  <commentList>
    <comment ref="K5" authorId="0">
      <text>
        <r>
          <rPr>
            <b/>
            <sz val="9"/>
            <color indexed="81"/>
            <rFont val="Tahoma"/>
            <family val="2"/>
          </rPr>
          <t>Reportez vous à vos planning et/ou bulletins de paie</t>
        </r>
      </text>
    </comment>
    <comment ref="L37" authorId="0">
      <text>
        <r>
          <rPr>
            <b/>
            <sz val="9"/>
            <color indexed="81"/>
            <rFont val="Tahoma"/>
            <family val="2"/>
          </rPr>
          <t>si pas de rbst indiqué le 31/12 de l'année</t>
        </r>
        <r>
          <rPr>
            <sz val="9"/>
            <color indexed="81"/>
            <rFont val="Tahoma"/>
            <family val="2"/>
          </rPr>
          <t xml:space="preserve">
</t>
        </r>
      </text>
    </comment>
    <comment ref="J38" authorId="0">
      <text>
        <r>
          <rPr>
            <b/>
            <sz val="9"/>
            <color indexed="81"/>
            <rFont val="Tahoma"/>
            <family val="2"/>
          </rPr>
          <t xml:space="preserve">Il convient de solliciter son Ets Bancaire pour obtenir une attestation précise des intérêts payés </t>
        </r>
        <r>
          <rPr>
            <i/>
            <sz val="9"/>
            <color indexed="81"/>
            <rFont val="Tahoma"/>
            <family val="2"/>
          </rPr>
          <t>ou</t>
        </r>
        <r>
          <rPr>
            <b/>
            <sz val="9"/>
            <color indexed="81"/>
            <rFont val="Tahoma"/>
            <family val="2"/>
          </rPr>
          <t xml:space="preserve"> le cas échéant, de se reporter au tableau d'amortissement.</t>
        </r>
        <r>
          <rPr>
            <sz val="9"/>
            <color indexed="81"/>
            <rFont val="Tahoma"/>
            <family val="2"/>
          </rPr>
          <t xml:space="preserve">
</t>
        </r>
      </text>
    </comment>
    <comment ref="K43" authorId="0">
      <text>
        <r>
          <rPr>
            <b/>
            <sz val="9"/>
            <color indexed="81"/>
            <rFont val="Tahoma"/>
            <family val="2"/>
          </rPr>
          <t xml:space="preserve">basé sur le nombre de jours travaillés
en utilisant le Véhicule 1 * 2
</t>
        </r>
        <r>
          <rPr>
            <sz val="9"/>
            <color indexed="81"/>
            <rFont val="Tahoma"/>
            <family val="2"/>
          </rPr>
          <t xml:space="preserve">
Modifiable si par exemple vous n'avez pour un trajet habituel DOM-TRAV utilisé le péage</t>
        </r>
      </text>
    </comment>
    <comment ref="K44" authorId="0">
      <text>
        <r>
          <rPr>
            <b/>
            <sz val="9"/>
            <color indexed="81"/>
            <rFont val="Tahoma"/>
            <family val="2"/>
          </rPr>
          <t>Cout d'un seul trajet hors frais de gestion d'un éventuel abonnement ou frais annexes</t>
        </r>
        <r>
          <rPr>
            <sz val="9"/>
            <color indexed="81"/>
            <rFont val="Tahoma"/>
            <family val="2"/>
          </rPr>
          <t xml:space="preserve">
</t>
        </r>
      </text>
    </comment>
    <comment ref="L46" authorId="0">
      <text>
        <r>
          <rPr>
            <b/>
            <sz val="9"/>
            <color indexed="81"/>
            <rFont val="Tahoma"/>
            <family val="2"/>
          </rPr>
          <t>si pas de rbst indiqué le 31/12 de l'année</t>
        </r>
        <r>
          <rPr>
            <sz val="9"/>
            <color indexed="81"/>
            <rFont val="Tahoma"/>
            <family val="2"/>
          </rPr>
          <t xml:space="preserve">
</t>
        </r>
      </text>
    </comment>
    <comment ref="J47" authorId="0">
      <text>
        <r>
          <rPr>
            <b/>
            <sz val="9"/>
            <color indexed="81"/>
            <rFont val="Tahoma"/>
            <family val="2"/>
          </rPr>
          <t xml:space="preserve">Il convient de solliciter son Ets Bancaire pour obtenir une attestation précise des intérêts payés </t>
        </r>
        <r>
          <rPr>
            <i/>
            <sz val="9"/>
            <color indexed="81"/>
            <rFont val="Tahoma"/>
            <family val="2"/>
          </rPr>
          <t>ou</t>
        </r>
        <r>
          <rPr>
            <b/>
            <sz val="9"/>
            <color indexed="81"/>
            <rFont val="Tahoma"/>
            <family val="2"/>
          </rPr>
          <t xml:space="preserve"> le cas échéant, de se reporter au tableau d'amortissement.</t>
        </r>
        <r>
          <rPr>
            <sz val="9"/>
            <color indexed="81"/>
            <rFont val="Tahoma"/>
            <family val="2"/>
          </rPr>
          <t xml:space="preserve">
</t>
        </r>
      </text>
    </comment>
    <comment ref="K52" authorId="0">
      <text>
        <r>
          <rPr>
            <b/>
            <sz val="9"/>
            <color indexed="81"/>
            <rFont val="Tahoma"/>
            <family val="2"/>
          </rPr>
          <t>basé sur le nombre de jours travaillés
en utilisant le Véhicule 2 * 2</t>
        </r>
        <r>
          <rPr>
            <sz val="9"/>
            <color indexed="81"/>
            <rFont val="Tahoma"/>
            <family val="2"/>
          </rPr>
          <t xml:space="preserve">
Modifiable si par exemple vous n'avez pour un trajet habituel DOM-TRAV utilisé le péage</t>
        </r>
      </text>
    </comment>
    <comment ref="K53" authorId="0">
      <text>
        <r>
          <rPr>
            <b/>
            <sz val="9"/>
            <color indexed="81"/>
            <rFont val="Tahoma"/>
            <family val="2"/>
          </rPr>
          <t>Cout d'un seul trajet hors frais de gestion d'un éventuel abonnement ou frais annexes</t>
        </r>
        <r>
          <rPr>
            <sz val="9"/>
            <color indexed="81"/>
            <rFont val="Tahoma"/>
            <family val="2"/>
          </rPr>
          <t xml:space="preserve">
</t>
        </r>
      </text>
    </comment>
    <comment ref="K59" authorId="0">
      <text>
        <r>
          <rPr>
            <b/>
            <sz val="9"/>
            <color indexed="81"/>
            <rFont val="Tahoma"/>
            <family val="2"/>
          </rPr>
          <t xml:space="preserve">la déductibilité du 'panier repas' n'est possible que si vous êtes amené à déjeuner sur place (lieu de travail) dans le cas d'une journée travaillée complète (matin et après midi)
</t>
        </r>
        <r>
          <rPr>
            <i/>
            <sz val="9"/>
            <color indexed="81"/>
            <rFont val="Tahoma"/>
            <family val="2"/>
          </rPr>
          <t>Ex: Un salarié travaillant du Mardi au Vendredi les Matins et Après Midi mais qui ne travaille que les Samedi Matins; ne pourra faire l'objet de 4 paniers repas par semaine !
Toutes facturettes est à conserver si vous dépasser le plafond journalier</t>
        </r>
      </text>
    </comment>
    <comment ref="K62" authorId="0">
      <text>
        <r>
          <rPr>
            <b/>
            <sz val="9"/>
            <color indexed="81"/>
            <rFont val="Tahoma"/>
            <family val="2"/>
          </rPr>
          <t>Montant Panier Repas - Part° Employeur au TR/CD</t>
        </r>
      </text>
    </comment>
    <comment ref="K66" authorId="0">
      <text>
        <r>
          <rPr>
            <b/>
            <sz val="9"/>
            <color indexed="81"/>
            <rFont val="Tahoma"/>
            <family val="2"/>
          </rPr>
          <t>le justifier sur papier libre avec l'ensemble des pièces annexes nécessaires à la déduction (justificatifs)</t>
        </r>
        <r>
          <rPr>
            <sz val="9"/>
            <color indexed="81"/>
            <rFont val="Tahoma"/>
            <family val="2"/>
          </rPr>
          <t xml:space="preserve">
</t>
        </r>
      </text>
    </comment>
  </commentList>
</comments>
</file>

<file path=xl/comments4.xml><?xml version="1.0" encoding="utf-8"?>
<comments xmlns="http://schemas.openxmlformats.org/spreadsheetml/2006/main">
  <authors>
    <author>Steven</author>
  </authors>
  <commentList>
    <comment ref="A22" authorId="0">
      <text>
        <r>
          <rPr>
            <b/>
            <sz val="9"/>
            <color indexed="81"/>
            <rFont val="Tahoma"/>
            <family val="2"/>
          </rPr>
          <t>Participation / Interessement perçus sur le C/C au cours de l'année N (somme à déclarer)</t>
        </r>
      </text>
    </comment>
  </commentList>
</comments>
</file>

<file path=xl/connections.xml><?xml version="1.0" encoding="utf-8"?>
<connections xmlns="http://schemas.openxmlformats.org/spreadsheetml/2006/main">
  <connection id="1" name="Connexion" type="4" refreshedVersion="3" background="1" saveData="1">
    <webPr sourceData="1" parsePre="1" consecutive="1" xl2000="1" url="http://www.excel-pratique.com/fr/telechargements/jeux/magie-interactive-et-jeux-divers-no174.php" htmlFormat="all"/>
  </connection>
  <connection id="2" name="Connexion1" type="4" refreshedVersion="3" background="1" saveData="1">
    <webPr sourceData="1" parsePre="1" consecutive="1" xl2000="1" url="http://www.excel-pratique.com/fr/telechargements/jeux/magie-interactive-et-jeux-divers-no174.php" htmlFormat="all"/>
  </connection>
  <connection id="3" name="Connexion10" type="4" refreshedVersion="3" background="1" saveData="1">
    <webPr sourceData="1" parsePre="1" consecutive="1" xl2000="1" url="http://www.excel-pratique.com/fr/telechargements/jeux/magie-interactive-et-jeux-divers-no174.php" htmlFormat="all"/>
  </connection>
  <connection id="4" name="Connexion11" type="4" refreshedVersion="3" background="1" saveData="1">
    <webPr sourceData="1" parsePre="1" consecutive="1" xl2000="1" url="http://www.excel-pratique.com/fr/telechargements/jeux/magie-interactive-et-jeux-divers-no174.php" htmlFormat="all"/>
  </connection>
  <connection id="5" name="Connexion12" type="4" refreshedVersion="3" background="1" saveData="1">
    <webPr sourceData="1" parsePre="1" consecutive="1" xl2000="1" url="http://www.excel-pratique.com/fr/telechargements/jeux/magie-interactive-et-jeux-divers-no174.php" htmlFormat="all"/>
  </connection>
  <connection id="6" name="Connexion13" type="4" refreshedVersion="3" background="1" saveData="1">
    <webPr sourceData="1" parsePre="1" consecutive="1" xl2000="1" url="http://www.excel-pratique.com/fr/telechargements/jeux/magie-interactive-et-jeux-divers-no174.php" htmlFormat="all"/>
  </connection>
  <connection id="7" name="Connexion14" type="4" refreshedVersion="3" background="1" saveData="1">
    <webPr sourceData="1" parsePre="1" consecutive="1" xl2000="1" url="http://www.excel-pratique.com/fr/telechargements/jeux/magie-interactive-et-jeux-divers-no174.php" htmlFormat="all"/>
  </connection>
  <connection id="8" name="Connexion15" type="4" refreshedVersion="3" background="1" saveData="1">
    <webPr sourceData="1" parsePre="1" consecutive="1" xl2000="1" url="http://www.excel-pratique.com/fr/telechargements/jeux/magie-interactive-et-jeux-divers-no174.php" htmlFormat="all"/>
  </connection>
  <connection id="9" name="Connexion16" type="4" refreshedVersion="3" background="1" saveData="1">
    <webPr sourceData="1" parsePre="1" consecutive="1" xl2000="1" url="http://www.excel-pratique.com/fr/telechargements/jeux/magie-interactive-et-jeux-divers-no174.php" htmlFormat="all"/>
  </connection>
  <connection id="10" name="Connexion17" type="4" refreshedVersion="3" background="1" saveData="1">
    <webPr sourceData="1" parsePre="1" consecutive="1" xl2000="1" url="http://www.excel-pratique.com/fr/telechargements/jeux/magie-interactive-et-jeux-divers-no174.php" htmlFormat="all"/>
  </connection>
  <connection id="11" name="Connexion18" type="4" refreshedVersion="3" background="1" saveData="1">
    <webPr sourceData="1" parsePre="1" consecutive="1" xl2000="1" url="http://www.excel-pratique.com/fr/telechargements/jeux/magie-interactive-et-jeux-divers-no174.php" htmlFormat="all"/>
  </connection>
  <connection id="12" name="Connexion19" type="4" refreshedVersion="3" background="1" saveData="1">
    <webPr sourceData="1" parsePre="1" consecutive="1" xl2000="1" url="http://www.excel-pratique.com/fr/telechargements/jeux/magie-interactive-et-jeux-divers-no174.php" htmlFormat="all"/>
  </connection>
  <connection id="13" name="Connexion2" type="4" refreshedVersion="3" background="1" saveData="1">
    <webPr sourceData="1" parsePre="1" consecutive="1" xl2000="1" url="http://www.excel-pratique.com/fr/telechargements/jeux/magie-interactive-et-jeux-divers-no174.php" htmlFormat="all"/>
  </connection>
  <connection id="14" name="Connexion20" type="4" refreshedVersion="3" background="1" saveData="1">
    <webPr sourceData="1" parsePre="1" consecutive="1" xl2000="1" url="http://www.excel-pratique.com/fr/telechargements/jeux/magie-interactive-et-jeux-divers-no174.php" htmlFormat="all"/>
  </connection>
  <connection id="15" name="Connexion21" type="4" refreshedVersion="3" background="1" saveData="1">
    <webPr sourceData="1" parsePre="1" consecutive="1" xl2000="1" url="http://www.excel-pratique.com/fr/telechargements/jeux/magie-interactive-et-jeux-divers-no174.php" htmlFormat="all"/>
  </connection>
  <connection id="16" name="Connexion22" type="4" refreshedVersion="3" background="1" saveData="1">
    <webPr sourceData="1" parsePre="1" consecutive="1" xl2000="1" url="http://www.excel-pratique.com/fr/telechargements/jeux/magie-interactive-et-jeux-divers-no174.php" htmlFormat="all"/>
  </connection>
  <connection id="17" name="Connexion23" type="4" refreshedVersion="3" background="1" saveData="1">
    <webPr sourceData="1" parsePre="1" consecutive="1" xl2000="1" url="http://www.excel-pratique.com/fr/telechargements/jeux/magie-interactive-et-jeux-divers-no174.php" htmlFormat="all"/>
  </connection>
  <connection id="18" name="Connexion24" type="4" refreshedVersion="3" background="1" saveData="1">
    <webPr sourceData="1" parsePre="1" consecutive="1" xl2000="1" url="http://www.excel-pratique.com/fr/telechargements/jeux/magie-interactive-et-jeux-divers-no174.php" htmlFormat="all"/>
  </connection>
  <connection id="19" name="Connexion25" type="4" refreshedVersion="3" background="1" saveData="1">
    <webPr sourceData="1" parsePre="1" consecutive="1" xl2000="1" url="http://www.excel-pratique.com/fr/telechargements/jeux/magie-interactive-et-jeux-divers-no174.php" htmlFormat="all"/>
  </connection>
  <connection id="20" name="Connexion26" type="4" refreshedVersion="3" background="1" saveData="1">
    <webPr sourceData="1" parsePre="1" consecutive="1" xl2000="1" url="http://www.excel-pratique.com/fr/telechargements/jeux/magie-interactive-et-jeux-divers-no174.php" htmlFormat="all"/>
  </connection>
  <connection id="21" name="Connexion27" type="4" refreshedVersion="3" background="1" saveData="1">
    <webPr sourceData="1" parsePre="1" consecutive="1" xl2000="1" url="http://www.excel-pratique.com/fr/telechargements/jeux/magie-interactive-et-jeux-divers-no174.php" htmlFormat="all"/>
  </connection>
  <connection id="22" name="Connexion28" type="4" refreshedVersion="3" background="1" saveData="1">
    <webPr sourceData="1" parsePre="1" consecutive="1" xl2000="1" url="http://www.excel-pratique.com/fr/telechargements/jeux/magie-interactive-et-jeux-divers-no174.php" htmlFormat="all"/>
  </connection>
  <connection id="23" name="Connexion29" type="4" refreshedVersion="3" background="1" saveData="1">
    <webPr sourceData="1" parsePre="1" consecutive="1" xl2000="1" url="http://www.excel-pratique.com/fr/telechargements/jeux/magie-interactive-et-jeux-divers-no174.php" htmlFormat="all"/>
  </connection>
  <connection id="24" name="Connexion3" type="4" refreshedVersion="3" background="1" saveData="1">
    <webPr sourceData="1" parsePre="1" consecutive="1" xl2000="1" url="http://www.excel-pratique.com/fr/telechargements/jeux/magie-interactive-et-jeux-divers-no174.php" htmlFormat="all"/>
  </connection>
  <connection id="25" name="Connexion30" type="4" refreshedVersion="3" background="1" saveData="1">
    <webPr sourceData="1" parsePre="1" consecutive="1" xl2000="1" url="http://www.excel-pratique.com/fr/telechargements/jeux/magie-interactive-et-jeux-divers-no174.php" htmlFormat="all"/>
  </connection>
  <connection id="26" name="Connexion31" type="4" refreshedVersion="3" background="1" saveData="1">
    <webPr sourceData="1" parsePre="1" consecutive="1" xl2000="1" url="http://www.excel-pratique.com/fr/telechargements/jeux/magie-interactive-et-jeux-divers-no174.php" htmlFormat="all"/>
  </connection>
  <connection id="27" name="Connexion32" type="4" refreshedVersion="3" background="1" saveData="1">
    <webPr sourceData="1" parsePre="1" consecutive="1" xl2000="1" url="http://www.excel-pratique.com/fr/telechargements/bd-finance/estimation-irpp-excel-no255.php" htmlFormat="all"/>
  </connection>
  <connection id="28" name="Connexion33" type="4" refreshedVersion="3" background="1" saveData="1">
    <webPr sourceData="1" parsePre="1" consecutive="1" xl2000="1" url="http://www.excel-pratique.com/fr/telechargements/bd-finance/estimation-irpp-excel-no255.php" htmlFormat="all"/>
  </connection>
  <connection id="29" name="Connexion34" type="4" refreshedVersion="3" background="1" saveData="1">
    <webPr sourceData="1" parsePre="1" consecutive="1" xl2000="1" url="http://www.excel-pratique.com/fr/telechargements/bd-finance/estimation-irpp-excel-no255.php" htmlFormat="all"/>
  </connection>
  <connection id="30" name="Connexion35" type="4" refreshedVersion="3" background="1" saveData="1">
    <webPr sourceData="1" parsePre="1" consecutive="1" xl2000="1" url="http://www.excel-pratique.com/fr/telechargements/bd-finance/estimation-irpp-excel-no255.php" htmlFormat="all"/>
  </connection>
  <connection id="31" name="Connexion36" type="4" refreshedVersion="3" background="1" saveData="1">
    <webPr sourceData="1" parsePre="1" consecutive="1" xl2000="1" url="http://www.excel-pratique.com/fr/telechargements/bd-finance/estimation-irpp-excel-no255.php" htmlFormat="all"/>
  </connection>
  <connection id="32" name="Connexion37" type="4" refreshedVersion="3" background="1" saveData="1">
    <webPr sourceData="1" parsePre="1" consecutive="1" xl2000="1" url="http://www.excel-pratique.com/fr/telechargements/bd-finance/estimation-irpp-excel-no255.php" htmlFormat="all"/>
  </connection>
  <connection id="33" name="Connexion38" type="4" refreshedVersion="3" background="1" saveData="1">
    <webPr sourceData="1" parsePre="1" consecutive="1" xl2000="1" url="http://www.excel-pratique.com/fr/telechargements/bd-finance/estimation-irpp-excel-no255.php" htmlFormat="all"/>
  </connection>
  <connection id="34" name="Connexion39" type="4" refreshedVersion="3" background="1" saveData="1">
    <webPr sourceData="1" parsePre="1" consecutive="1" xl2000="1" url="http://www.excel-pratique.com/fr/telechargements/bd-finance/estimation-irpp-excel-no255.php" htmlFormat="all"/>
  </connection>
  <connection id="35" name="Connexion4" type="4" refreshedVersion="3" background="1" saveData="1">
    <webPr sourceData="1" parsePre="1" consecutive="1" xl2000="1" url="http://www.excel-pratique.com/fr/telechargements/jeux/magie-interactive-et-jeux-divers-no174.php" htmlFormat="all"/>
  </connection>
  <connection id="36" name="Connexion40" type="4" refreshedVersion="3" background="1" saveData="1">
    <webPr sourceData="1" parsePre="1" consecutive="1" xl2000="1" url="http://www.excel-pratique.com/fr/telechargements/bd-finance/estimation-irpp-excel-no255.php" htmlFormat="all"/>
  </connection>
  <connection id="37" name="Connexion41" type="4" refreshedVersion="3" background="1" saveData="1">
    <webPr sourceData="1" parsePre="1" consecutive="1" xl2000="1" url="http://www.excel-pratique.com/fr/telechargements/bd-finance/estimation-irpp-excel-no255.php" htmlFormat="all"/>
  </connection>
  <connection id="38" name="Connexion42" type="4" refreshedVersion="3" background="1" saveData="1">
    <webPr sourceData="1" parsePre="1" consecutive="1" xl2000="1" url="http://www.excel-pratique.com/fr/telechargements/bd-finance/estimation-irpp-excel-no255.php" htmlFormat="all"/>
  </connection>
  <connection id="39" name="Connexion43" type="4" refreshedVersion="3" background="1" saveData="1">
    <webPr sourceData="1" parsePre="1" consecutive="1" xl2000="1" url="http://www.excel-pratique.com/fr/telechargements/bd-finance/estimation-irpp-excel-no255.php" htmlFormat="all"/>
  </connection>
  <connection id="40" name="Connexion44" type="4" refreshedVersion="3" background="1" saveData="1">
    <webPr sourceData="1" parsePre="1" consecutive="1" xl2000="1" url="http://www.excel-pratique.com/fr/telechargements/bd-finance/estimation-irpp-excel-no255.php" htmlFormat="all"/>
  </connection>
  <connection id="41" name="Connexion45" type="4" refreshedVersion="3" background="1" saveData="1">
    <webPr sourceData="1" parsePre="1" consecutive="1" xl2000="1" url="http://www.excel-pratique.com/fr/telechargements/bd-finance/estimation-irpp-excel-no255.php" htmlFormat="all"/>
  </connection>
  <connection id="42" name="Connexion46" type="4" refreshedVersion="3" background="1" saveData="1">
    <webPr sourceData="1" parsePre="1" consecutive="1" xl2000="1" url="http://www.excel-pratique.com/fr/telechargements/bd-finance/estimation-irpp-excel-no255.php" htmlFormat="all"/>
  </connection>
  <connection id="43" name="Connexion47" type="4" refreshedVersion="3" background="1" saveData="1">
    <webPr sourceData="1" parsePre="1" consecutive="1" xl2000="1" url="http://www.excel-pratique.com/fr/telechargements/bd-finance/estimation-irpp-excel-no255.php" htmlFormat="all"/>
  </connection>
  <connection id="44" name="Connexion48" type="4" refreshedVersion="3" background="1" saveData="1">
    <webPr sourceData="1" parsePre="1" consecutive="1" xl2000="1" url="http://www.excel-pratique.com/fr/telechargements/bd-finance/estimation-irpp-excel-no255.php" htmlFormat="all"/>
  </connection>
  <connection id="45" name="Connexion49" type="4" refreshedVersion="3" background="1" saveData="1">
    <webPr sourceData="1" parsePre="1" consecutive="1" xl2000="1" url="http://www.excel-pratique.com/fr/telechargements/bd-finance/estimation-irpp-excel-no255.php" htmlFormat="all"/>
  </connection>
  <connection id="46" name="Connexion5" type="4" refreshedVersion="3" background="1" saveData="1">
    <webPr sourceData="1" parsePre="1" consecutive="1" xl2000="1" url="http://www.excel-pratique.com/fr/telechargements/jeux/magie-interactive-et-jeux-divers-no174.php" htmlFormat="all"/>
  </connection>
  <connection id="47" name="Connexion50" type="4" refreshedVersion="3" background="1" saveData="1">
    <webPr sourceData="1" parsePre="1" consecutive="1" xl2000="1" url="http://www.excel-pratique.com/fr/telechargements/bd-finance/estimation-irpp-excel-no255.php" htmlFormat="all"/>
  </connection>
  <connection id="48" name="Connexion51" type="4" refreshedVersion="3" background="1" saveData="1">
    <webPr sourceData="1" parsePre="1" consecutive="1" xl2000="1" url="http://www.excel-pratique.com/fr/telechargements/bd-finance/estimation-irpp-excel-no255.php" htmlFormat="all"/>
  </connection>
  <connection id="49" name="Connexion6" type="4" refreshedVersion="3" background="1" saveData="1">
    <webPr sourceData="1" parsePre="1" consecutive="1" xl2000="1" url="http://www.excel-pratique.com/fr/telechargements/jeux/magie-interactive-et-jeux-divers-no174.php" htmlFormat="all"/>
  </connection>
  <connection id="50" name="Connexion7" type="4" refreshedVersion="3" background="1" saveData="1">
    <webPr sourceData="1" parsePre="1" consecutive="1" xl2000="1" url="http://www.excel-pratique.com/fr/telechargements/jeux/magie-interactive-et-jeux-divers-no174.php" htmlFormat="all"/>
  </connection>
  <connection id="51" name="Connexion8" type="4" refreshedVersion="3" background="1" saveData="1">
    <webPr sourceData="1" parsePre="1" consecutive="1" xl2000="1" url="http://www.excel-pratique.com/fr/telechargements/jeux/magie-interactive-et-jeux-divers-no174.php" htmlFormat="all"/>
  </connection>
  <connection id="52" name="Connexion9" type="4" refreshedVersion="3" background="1" saveData="1">
    <webPr sourceData="1" parsePre="1" consecutive="1" xl2000="1" url="http://www.excel-pratique.com/fr/telechargements/jeux/magie-interactive-et-jeux-divers-no174.php" htmlFormat="all"/>
  </connection>
</connections>
</file>

<file path=xl/sharedStrings.xml><?xml version="1.0" encoding="utf-8"?>
<sst xmlns="http://schemas.openxmlformats.org/spreadsheetml/2006/main" count="538" uniqueCount="350">
  <si>
    <t>Mois</t>
  </si>
  <si>
    <t>NOM:</t>
  </si>
  <si>
    <t>PRÉNOM:</t>
  </si>
  <si>
    <t>ADRESSE:</t>
  </si>
  <si>
    <t xml:space="preserve">TAUX D’IMPOSITION </t>
  </si>
  <si>
    <t>Num/ Ref:</t>
  </si>
  <si>
    <t>Part° + Inter.</t>
  </si>
  <si>
    <t>et plus</t>
  </si>
  <si>
    <t>TOTAL</t>
  </si>
  <si>
    <t>Nbr de part(s)</t>
  </si>
  <si>
    <t>Soit</t>
  </si>
  <si>
    <t>Résultat</t>
  </si>
  <si>
    <t>Mtt de la tranche</t>
  </si>
  <si>
    <t>TOTAL BAREME</t>
  </si>
  <si>
    <t>GRACE IMPOTS si &lt;</t>
  </si>
  <si>
    <t>Déclaration Commune (Foyer Fiscal)</t>
  </si>
  <si>
    <t>Date de Naissance</t>
  </si>
  <si>
    <r>
      <t xml:space="preserve">10% 
</t>
    </r>
    <r>
      <rPr>
        <i/>
        <u/>
        <sz val="11"/>
        <color theme="10"/>
        <rFont val="Calibri"/>
        <family val="2"/>
      </rPr>
      <t>(ou Frais Réels)</t>
    </r>
  </si>
  <si>
    <t>Plafond Décote:</t>
  </si>
  <si>
    <r>
      <t xml:space="preserve">Composition du Foyer </t>
    </r>
    <r>
      <rPr>
        <i/>
        <u/>
        <sz val="9"/>
        <color theme="1"/>
        <rFont val="Calibri"/>
        <family val="2"/>
        <scheme val="minor"/>
      </rPr>
      <t>(Enfants à Charge fiscalement)</t>
    </r>
  </si>
  <si>
    <t>Revenu Brut Global</t>
  </si>
  <si>
    <t>Total Déclaré</t>
  </si>
  <si>
    <t>Charges Déductibles / Abattements Spéciaux</t>
  </si>
  <si>
    <t xml:space="preserve">Revenu Imposable </t>
  </si>
  <si>
    <t>Soumis à Barème</t>
  </si>
  <si>
    <t>IMPOT NET</t>
  </si>
  <si>
    <t>IMPOT AVANT DECOTE</t>
  </si>
  <si>
    <t>IMPOT NET AVANT CORRECTIONS</t>
  </si>
  <si>
    <t>x Nbr de part(s)</t>
  </si>
  <si>
    <t>Quotien Familial</t>
  </si>
  <si>
    <t>TAUX IMPOSITION (% du Revenu Imposable)</t>
  </si>
  <si>
    <t>Total des Salaires Mensuels Nets Imposables du Foyer</t>
  </si>
  <si>
    <t>Accès partie masquée</t>
  </si>
  <si>
    <t>Adresse DOMICILE :</t>
  </si>
  <si>
    <t>Adresse TRAVAIL :</t>
  </si>
  <si>
    <t>Km Domicile-Travail :</t>
  </si>
  <si>
    <t>Nbr de jours travaillés :</t>
  </si>
  <si>
    <t>soit trajet journalier aller-retour :</t>
  </si>
  <si>
    <t>Compteur Km au 01/01 :</t>
  </si>
  <si>
    <t>Compteur Km au 31/12 :</t>
  </si>
  <si>
    <t>Total km parcourus :</t>
  </si>
  <si>
    <r>
      <rPr>
        <i/>
        <u/>
        <sz val="11"/>
        <color theme="1"/>
        <rFont val="Calibri"/>
        <family val="2"/>
        <scheme val="minor"/>
      </rPr>
      <t>dont</t>
    </r>
    <r>
      <rPr>
        <b/>
        <sz val="11"/>
        <color theme="1"/>
        <rFont val="Calibri"/>
        <family val="2"/>
        <scheme val="minor"/>
      </rPr>
      <t xml:space="preserve"> Km Profs. Parcours :</t>
    </r>
  </si>
  <si>
    <r>
      <rPr>
        <i/>
        <u/>
        <sz val="11"/>
        <color theme="1"/>
        <rFont val="Calibri"/>
        <family val="2"/>
        <scheme val="minor"/>
      </rPr>
      <t>dont</t>
    </r>
    <r>
      <rPr>
        <b/>
        <sz val="11"/>
        <color theme="1"/>
        <rFont val="Calibri"/>
        <family val="2"/>
        <scheme val="minor"/>
      </rPr>
      <t xml:space="preserve"> Km Part. Parcours :</t>
    </r>
  </si>
  <si>
    <t>soit:</t>
  </si>
  <si>
    <t>Intérêts Crédit Auto :</t>
  </si>
  <si>
    <t>Puissance administrative</t>
  </si>
  <si>
    <t>Jusqu’à 5 000 km</t>
  </si>
  <si>
    <t>De 5 001 km à 20 000 km</t>
  </si>
  <si>
    <t>Au-delà de 20 000 km</t>
  </si>
  <si>
    <t>(d représente la distance parcourue)</t>
  </si>
  <si>
    <r>
      <t xml:space="preserve">Caractéristiques de votre véhicule </t>
    </r>
    <r>
      <rPr>
        <i/>
        <u/>
        <sz val="10"/>
        <color theme="1"/>
        <rFont val="Calibri"/>
        <family val="2"/>
        <scheme val="minor"/>
      </rPr>
      <t>(consultez votre carte grise)</t>
    </r>
    <r>
      <rPr>
        <b/>
        <u/>
        <sz val="11"/>
        <color theme="1"/>
        <rFont val="Calibri"/>
        <family val="2"/>
        <scheme val="minor"/>
      </rPr>
      <t xml:space="preserve"> :</t>
    </r>
  </si>
  <si>
    <r>
      <t xml:space="preserve">N° Immatriculation </t>
    </r>
    <r>
      <rPr>
        <i/>
        <sz val="11"/>
        <color theme="1"/>
        <rFont val="Calibri"/>
        <family val="2"/>
        <scheme val="minor"/>
      </rPr>
      <t>(A)</t>
    </r>
    <r>
      <rPr>
        <b/>
        <sz val="11"/>
        <color theme="1"/>
        <rFont val="Calibri"/>
        <family val="2"/>
        <scheme val="minor"/>
      </rPr>
      <t xml:space="preserve"> :</t>
    </r>
  </si>
  <si>
    <r>
      <t xml:space="preserve">Date de 1ère Immat. </t>
    </r>
    <r>
      <rPr>
        <i/>
        <sz val="11"/>
        <color theme="1"/>
        <rFont val="Calibri"/>
        <family val="2"/>
        <scheme val="minor"/>
      </rPr>
      <t>(B)</t>
    </r>
    <r>
      <rPr>
        <b/>
        <sz val="11"/>
        <color theme="1"/>
        <rFont val="Calibri"/>
        <family val="2"/>
        <scheme val="minor"/>
      </rPr>
      <t xml:space="preserve"> : </t>
    </r>
  </si>
  <si>
    <r>
      <t xml:space="preserve">Date d'acquisition </t>
    </r>
    <r>
      <rPr>
        <i/>
        <sz val="11"/>
        <color theme="1"/>
        <rFont val="Calibri"/>
        <family val="2"/>
        <scheme val="minor"/>
      </rPr>
      <t>(I)</t>
    </r>
    <r>
      <rPr>
        <b/>
        <sz val="11"/>
        <color theme="1"/>
        <rFont val="Calibri"/>
        <family val="2"/>
        <scheme val="minor"/>
      </rPr>
      <t xml:space="preserve"> : </t>
    </r>
  </si>
  <si>
    <r>
      <t xml:space="preserve">Marque / Modèle C.ial </t>
    </r>
    <r>
      <rPr>
        <i/>
        <sz val="11"/>
        <color theme="1"/>
        <rFont val="Calibri"/>
        <family val="2"/>
        <scheme val="minor"/>
      </rPr>
      <t>(D1/D3)</t>
    </r>
    <r>
      <rPr>
        <b/>
        <sz val="11"/>
        <color theme="1"/>
        <rFont val="Calibri"/>
        <family val="2"/>
        <scheme val="minor"/>
      </rPr>
      <t>:</t>
    </r>
  </si>
  <si>
    <r>
      <t xml:space="preserve">Puissance Fiscale </t>
    </r>
    <r>
      <rPr>
        <i/>
        <sz val="11"/>
        <color theme="1"/>
        <rFont val="Calibri"/>
        <family val="2"/>
        <scheme val="minor"/>
      </rPr>
      <t>(P6)</t>
    </r>
    <r>
      <rPr>
        <b/>
        <sz val="11"/>
        <color theme="1"/>
        <rFont val="Calibri"/>
        <family val="2"/>
        <scheme val="minor"/>
      </rPr>
      <t xml:space="preserve"> :</t>
    </r>
  </si>
  <si>
    <r>
      <t xml:space="preserve">Numéro de série </t>
    </r>
    <r>
      <rPr>
        <i/>
        <sz val="11"/>
        <color theme="1"/>
        <rFont val="Calibri"/>
        <family val="2"/>
        <scheme val="minor"/>
      </rPr>
      <t>(E)</t>
    </r>
    <r>
      <rPr>
        <b/>
        <sz val="11"/>
        <color theme="1"/>
        <rFont val="Calibri"/>
        <family val="2"/>
        <scheme val="minor"/>
      </rPr>
      <t xml:space="preserve"> :</t>
    </r>
  </si>
  <si>
    <t>cf. Barème issu du site internet "service-public.fr"</t>
  </si>
  <si>
    <t xml:space="preserve">  &gt; Km 'Pros' soumis au barème fiscal :</t>
  </si>
  <si>
    <t xml:space="preserve">   soit Indemnités km :</t>
  </si>
  <si>
    <t>Retour à la saisie</t>
  </si>
  <si>
    <t>Plafond des frais réels :</t>
  </si>
  <si>
    <t>Frais de Péage :</t>
  </si>
  <si>
    <t>Autres Frais :</t>
  </si>
  <si>
    <t>dont à déduire :</t>
  </si>
  <si>
    <r>
      <rPr>
        <u/>
        <sz val="11"/>
        <color theme="1"/>
        <rFont val="Calibri"/>
        <family val="2"/>
        <scheme val="minor"/>
      </rPr>
      <t>Commentaires:</t>
    </r>
    <r>
      <rPr>
        <sz val="11"/>
        <color theme="1"/>
        <rFont val="Calibri"/>
        <family val="2"/>
        <scheme val="minor"/>
      </rPr>
      <t xml:space="preserve">    </t>
    </r>
    <r>
      <rPr>
        <i/>
        <sz val="9"/>
        <color theme="1"/>
        <rFont val="Calibri"/>
        <family val="2"/>
        <scheme val="minor"/>
      </rPr>
      <t xml:space="preserve"> (Justifiez des sommes que vous indiquez ci-contre)</t>
    </r>
  </si>
  <si>
    <t>Montants :</t>
  </si>
  <si>
    <r>
      <t xml:space="preserve">10% 
</t>
    </r>
    <r>
      <rPr>
        <b/>
        <i/>
        <sz val="11"/>
        <color theme="1"/>
        <rFont val="Calibri"/>
        <family val="2"/>
        <scheme val="minor"/>
      </rPr>
      <t>ou         Frais Réels</t>
    </r>
  </si>
  <si>
    <t>au 1er Janvier</t>
  </si>
  <si>
    <t>Panier Repas Journalier :</t>
  </si>
  <si>
    <t>calcul pour le plafonnement enfants</t>
  </si>
  <si>
    <t>calcul pour les déclarations individuelles basées sur la déclaration commune</t>
  </si>
  <si>
    <t>à mettre à jour pour actualisation</t>
  </si>
  <si>
    <t>Décote 1 Déclarant</t>
  </si>
  <si>
    <t>Décote Couple / FF</t>
  </si>
  <si>
    <t>Coeff Décote</t>
  </si>
  <si>
    <t>Grâce d'impôts</t>
  </si>
  <si>
    <t>PERSOID</t>
  </si>
  <si>
    <t>MotPasse</t>
  </si>
  <si>
    <t>Feuille</t>
  </si>
  <si>
    <t>Noms de champ</t>
  </si>
  <si>
    <t>Admin</t>
  </si>
  <si>
    <t>autres</t>
  </si>
  <si>
    <t>admin</t>
  </si>
  <si>
    <t>Frais Réels - détails</t>
  </si>
  <si>
    <t>SIMUL IMPOTS</t>
  </si>
  <si>
    <t>mot de passe admin</t>
  </si>
  <si>
    <t>XLS0923</t>
  </si>
  <si>
    <t>XLSIRPP</t>
  </si>
  <si>
    <t>XLSFR</t>
  </si>
  <si>
    <t>VBA</t>
  </si>
  <si>
    <t>VERIFMAJ</t>
  </si>
  <si>
    <t>Vérification en cours de la dernière MAJ disponible…. Merci de patienter….</t>
  </si>
  <si>
    <t>Recherche</t>
  </si>
  <si>
    <t>1. Les bases</t>
  </si>
  <si>
    <t>2. Les tableaux</t>
  </si>
  <si>
    <t>3. Format et mise en forme</t>
  </si>
  <si>
    <t>4. Insertion d'objets</t>
  </si>
  <si>
    <t>5. Recopie incrémentée</t>
  </si>
  <si>
    <t>6. Fonctions et calculs</t>
  </si>
  <si>
    <t>7. Les graphiques</t>
  </si>
  <si>
    <t>8. Mises en forme conditionnelles</t>
  </si>
  <si>
    <t>9. Compléments</t>
  </si>
  <si>
    <t>10. Utilisation de données</t>
  </si>
  <si>
    <t>1. Introduction</t>
  </si>
  <si>
    <t>2. Les feuilles et cellules</t>
  </si>
  <si>
    <t>3. Les variables</t>
  </si>
  <si>
    <t>4. Les conditions</t>
  </si>
  <si>
    <t>5. Les boucles</t>
  </si>
  <si>
    <t>6. Les procédures et fonctions</t>
  </si>
  <si>
    <t>7. Les boîtes de dialogue</t>
  </si>
  <si>
    <t>8. Les événements</t>
  </si>
  <si>
    <t>9. Les formulaires et contrôles</t>
  </si>
  <si>
    <t>10. Les tableaux</t>
  </si>
  <si>
    <t>11. Compléments</t>
  </si>
  <si>
    <t>12. Créer une application complexe</t>
  </si>
  <si>
    <t>13. Astuces VBA</t>
  </si>
  <si>
    <t>2. Affichage des jours</t>
  </si>
  <si>
    <t>3. Mise en forme du calendrier</t>
  </si>
  <si>
    <t>4. Choix de l'année</t>
  </si>
  <si>
    <t>5. Création de l'UserForm</t>
  </si>
  <si>
    <t>6. Enregistrement de données</t>
  </si>
  <si>
    <t>7. Affichage des données</t>
  </si>
  <si>
    <t>8. Remplissage de l'UserForm</t>
  </si>
  <si>
    <t>9. Modification des données</t>
  </si>
  <si>
    <t>10. Suppression des données</t>
  </si>
  <si>
    <t>11. Affichage des notes du jour</t>
  </si>
  <si>
    <t>12. Exercice de révision</t>
  </si>
  <si>
    <t>13. Dernières recommandations</t>
  </si>
  <si>
    <t>Date et heure</t>
  </si>
  <si>
    <t>Logique</t>
  </si>
  <si>
    <t>Math et trigo</t>
  </si>
  <si>
    <t>Statistiques</t>
  </si>
  <si>
    <t>Texte</t>
  </si>
  <si>
    <t>Finances</t>
  </si>
  <si>
    <t>Date / Heure</t>
  </si>
  <si>
    <t>Math / Trigo</t>
  </si>
  <si>
    <t>Base de données</t>
  </si>
  <si>
    <t>Informations</t>
  </si>
  <si>
    <t>Ingénierie</t>
  </si>
  <si>
    <t>Cube</t>
  </si>
  <si>
    <t>Compatibilité</t>
  </si>
  <si>
    <t>Web</t>
  </si>
  <si>
    <t>Forum</t>
  </si>
  <si>
    <t>Cours Excel</t>
  </si>
  <si>
    <t>Cours VBA</t>
  </si>
  <si>
    <t>BD, finance</t>
  </si>
  <si>
    <t>Budget, gestion de comptes</t>
  </si>
  <si>
    <t>Calendriers</t>
  </si>
  <si>
    <t>Comptabilité</t>
  </si>
  <si>
    <t>Convertisseurs</t>
  </si>
  <si>
    <t>Gestion commerciale</t>
  </si>
  <si>
    <t>Gestion du personnel</t>
  </si>
  <si>
    <t>Jeux</t>
  </si>
  <si>
    <t>Loisirs</t>
  </si>
  <si>
    <t>Outils de gestion divers</t>
  </si>
  <si>
    <t>Outils mathématiques</t>
  </si>
  <si>
    <t>Plannings</t>
  </si>
  <si>
    <t>Santé</t>
  </si>
  <si>
    <t>Sport</t>
  </si>
  <si>
    <t>Utilitaires</t>
  </si>
  <si>
    <t>Inclassables</t>
  </si>
  <si>
    <t>Stock-Pratique</t>
  </si>
  <si>
    <t>Contacts-Pratique</t>
  </si>
  <si>
    <t>Compta-Pratique</t>
  </si>
  <si>
    <t>Planning-Pratique</t>
  </si>
  <si>
    <t>Calendrier-Pratique</t>
  </si>
  <si>
    <t>Protection-Pratique</t>
  </si>
  <si>
    <t>Jeux Excel-Pratique</t>
  </si>
  <si>
    <t>CATEGORIES</t>
  </si>
  <si>
    <t>Cours OpenOffice/LibreOffice (3)</t>
  </si>
  <si>
    <t>Convertisseurs (3)</t>
  </si>
  <si>
    <t>Gestion commerciale (8)</t>
  </si>
  <si>
    <t>Outils mathématiques (4)</t>
  </si>
  <si>
    <t>Santé (3)</t>
  </si>
  <si>
    <t>APPLICATIONS EXCEL</t>
  </si>
  <si>
    <t>Description :</t>
  </si>
  <si>
    <t>Auteur :</t>
  </si>
  <si>
    <t>EVAINSE</t>
  </si>
  <si>
    <t>Ajouté le :</t>
  </si>
  <si>
    <t>Modifié le :</t>
  </si>
  <si>
    <t>17.07.2016</t>
  </si>
  <si>
    <t>Téléchargements :</t>
  </si>
  <si>
    <t>Télécharger :</t>
  </si>
  <si>
    <t>Aperçu :</t>
  </si>
  <si>
    <t>Affiliation</t>
  </si>
  <si>
    <t>Formation Excel</t>
  </si>
  <si>
    <t>Formation Macros Excel</t>
  </si>
  <si>
    <t>Contact</t>
  </si>
  <si>
    <t>Annonceurs</t>
  </si>
  <si>
    <t>Blog Excel</t>
  </si>
  <si>
    <t xml:space="preserve"> date maj &gt;&gt;&gt;&gt;&gt;&gt;&gt;&gt;</t>
  </si>
  <si>
    <t>Estimation IRPP</t>
  </si>
  <si>
    <t>Fichier Excel permettant un calcul rapide de l'imposition sur les revenus, avec quelques "options" (changement d'adresse en cours d'année / de situation familiale, etc).</t>
  </si>
  <si>
    <t>Calcul automatisé pour les frais réels en fonction des données renseignées.</t>
  </si>
  <si>
    <t>Cette application tient compte également d'autres déductions et réductions d'impôts et de la décote.</t>
  </si>
  <si>
    <t>Version :</t>
  </si>
  <si>
    <t>estimation irpp excel</t>
  </si>
  <si>
    <t>◄ Vous devez activer les macros pour pouvoir accéder à la partie masquée (gérée par l'admin - mdp recquis).
                                                    Pour connaitre si une MAJ est disponible, cliquez sur le symbole 'rafraichir'  (macros activées). ►</t>
  </si>
  <si>
    <t xml:space="preserve">IMPOT AVANT DECOTE et autres REDUCTIONS - DEDUCTIONS </t>
  </si>
  <si>
    <t>&lt;&lt; Retour Haut de Page &gt;&gt;</t>
  </si>
  <si>
    <t>!! pensez à mettre à jour le barème km !!</t>
  </si>
  <si>
    <t>accès/retour à SIMULATION</t>
  </si>
  <si>
    <t>Pack de fonctions complémentaires</t>
  </si>
  <si>
    <t>Liste des fonctions Excel</t>
  </si>
  <si>
    <t>Liste des fonctions VBA</t>
  </si>
  <si>
    <t>Installation et mise à jour</t>
  </si>
  <si>
    <t>Livre d'or</t>
  </si>
  <si>
    <t>Frais Réels (multi options)</t>
  </si>
  <si>
    <t>=Admin!$K$11:$K$31</t>
  </si>
  <si>
    <t>=Admin!$j$11:$j$31</t>
  </si>
  <si>
    <t>XLSFRMO</t>
  </si>
  <si>
    <t>MOTS DE PASSE
VEROUILLAGE DES FEUILLES</t>
  </si>
  <si>
    <t>!! pensez à mettre à jour le barème des revenus &amp; les plafonds !!</t>
  </si>
  <si>
    <t>DOMICILE</t>
  </si>
  <si>
    <t>LIEU DE TRAVAIL</t>
  </si>
  <si>
    <t>APRES</t>
  </si>
  <si>
    <t>VEHICULES</t>
  </si>
  <si>
    <t>CALENDRIER</t>
  </si>
  <si>
    <t>Nbr Jr Travl</t>
  </si>
  <si>
    <t>AVANT</t>
  </si>
  <si>
    <t>Total km professionnels parcourus :</t>
  </si>
  <si>
    <t>Total km annuels parcourus :</t>
  </si>
  <si>
    <t>Calcul des frais réels mutli-options : pour en savoir plus, cliquez sur l'ampoule</t>
  </si>
  <si>
    <t>soit en % des Km annuels</t>
  </si>
  <si>
    <t>DATES EFFECTIVES</t>
  </si>
  <si>
    <t>KM TRAJET DOM 1 - TRAVAIL 1    &gt;&gt;&gt;&gt;</t>
  </si>
  <si>
    <t>soit aller - retour</t>
  </si>
  <si>
    <t>du 01/01  &gt;  date de l'EVT &gt;   31/12</t>
  </si>
  <si>
    <t>en savoir plus</t>
  </si>
  <si>
    <t>RECAP DES JOURS TRAVAILLES SELON EVT</t>
  </si>
  <si>
    <t>Utilisation du Véhicule 1</t>
  </si>
  <si>
    <t xml:space="preserve">Utilisation du Véhicule 2 </t>
  </si>
  <si>
    <t>Nbr de Jour travaillés / Km parcourus</t>
  </si>
  <si>
    <t>km Trajet</t>
  </si>
  <si>
    <t>RECAPITULATIFS DE VOS DEPLACEMENTS PROFESSIONNELS</t>
  </si>
  <si>
    <t>EVT</t>
  </si>
  <si>
    <t>Indemnités Km estimées :</t>
  </si>
  <si>
    <t>vierge_estimation_irpp.xlsm</t>
  </si>
  <si>
    <t>Libéllé</t>
  </si>
  <si>
    <t>Rue</t>
  </si>
  <si>
    <t>Complément</t>
  </si>
  <si>
    <t>CP + VILLE</t>
  </si>
  <si>
    <t>Déductibilités des INTERETS D EMPRUNTS</t>
  </si>
  <si>
    <t>Liens Utiles</t>
  </si>
  <si>
    <t>Calcul des KM (distance DOM - TRA)</t>
  </si>
  <si>
    <t>Mappy</t>
  </si>
  <si>
    <t>Via Michelin</t>
  </si>
  <si>
    <t>Maps</t>
  </si>
  <si>
    <t>Plus d'infos sur les frais réels</t>
  </si>
  <si>
    <t>Service Public</t>
  </si>
  <si>
    <t>Impots.Gouv</t>
  </si>
  <si>
    <t>Intérêts payés</t>
  </si>
  <si>
    <t>du</t>
  </si>
  <si>
    <t>à date Rbst</t>
  </si>
  <si>
    <t>Intérêts éligibles</t>
  </si>
  <si>
    <t>Intérêts déductibles</t>
  </si>
  <si>
    <t>AUTRES FRAIS LIES A L UTILISATION DU VEHICULE</t>
  </si>
  <si>
    <t>Frais de Péage</t>
  </si>
  <si>
    <t>Nbr de Trajets</t>
  </si>
  <si>
    <t>Cout du Péage</t>
  </si>
  <si>
    <t>Intérêts Emprunts Crédit Auto :</t>
  </si>
  <si>
    <t>FRAIS DEDUCTIBLES</t>
  </si>
  <si>
    <t>AUTRES FRAIS DIVERS A DEDUIRE</t>
  </si>
  <si>
    <t>Nbr de Jours travaillés (Jrn entières)</t>
  </si>
  <si>
    <t>Part Empl</t>
  </si>
  <si>
    <t>Part Sal</t>
  </si>
  <si>
    <t>Montant</t>
  </si>
  <si>
    <t>Si vous bénéficiez de Tickets Restaurant ou Chèques Déjeuner (saisir en  € et non en %)</t>
  </si>
  <si>
    <t>Déductibilité possible par repas</t>
  </si>
  <si>
    <t>Nbr repris estimatif &amp; modifiable</t>
  </si>
  <si>
    <t>En savoir plus ? Exception ?
cf   Liens Utiles</t>
  </si>
  <si>
    <t>Déclarant 1</t>
  </si>
  <si>
    <t>Déclarant 2</t>
  </si>
  <si>
    <t>Frais de Repas</t>
  </si>
  <si>
    <t>NB: Il est nécessaire de conserver une copie de la carte grise barrée, datée et signée en mentionnant le nbr de km au jour de la cession / vente de celui-ci (en sus du certificat). 
Il s'agit d'un conseil qui le cas échéant vous permettrait de justifier en cas de contrôle de l'administration, la prorpiété du véhicule mais aussi des KMs réalisés jusqu'à l'EVT.</t>
  </si>
  <si>
    <t>renseignez l'EVT (liste) et la date ci-dessous</t>
  </si>
  <si>
    <r>
      <t>SITUATION</t>
    </r>
    <r>
      <rPr>
        <i/>
        <sz val="11"/>
        <color theme="1"/>
        <rFont val="Calibri"/>
        <family val="2"/>
        <scheme val="minor"/>
      </rPr>
      <t xml:space="preserve"> (PERIODES)</t>
    </r>
  </si>
  <si>
    <r>
      <t xml:space="preserve">ventilation jrs si EVT </t>
    </r>
    <r>
      <rPr>
        <b/>
        <sz val="11"/>
        <color theme="1"/>
        <rFont val="Calibri"/>
        <family val="2"/>
        <scheme val="minor"/>
      </rPr>
      <t>(*)</t>
    </r>
  </si>
  <si>
    <r>
      <t xml:space="preserve">Compléments </t>
    </r>
    <r>
      <rPr>
        <i/>
        <u/>
        <sz val="10"/>
        <color theme="1"/>
        <rFont val="Calibri"/>
        <family val="2"/>
        <scheme val="minor"/>
      </rPr>
      <t>et/ou</t>
    </r>
    <r>
      <rPr>
        <b/>
        <sz val="11"/>
        <color theme="1"/>
        <rFont val="Calibri"/>
        <family val="2"/>
        <scheme val="minor"/>
      </rPr>
      <t xml:space="preserve"> Autres frais à déduire</t>
    </r>
  </si>
  <si>
    <t>si vous souhaitez conserver le montant afin de le reporter dans la simulation merci de l'indiquer ci-contre en face du déclarant concerné   &gt;&gt;&gt;&gt;&gt;
cependant si vous réaliser une autre simulation pour un autre déclarant, les données seront écrasées ! Pensez bien à conserver votre résultat &gt;&gt;&gt;&gt;&gt;</t>
  </si>
  <si>
    <t>Autres frais à déduire</t>
  </si>
  <si>
    <r>
      <t>!! Conserver vos Justificatifs !! : Factures</t>
    </r>
    <r>
      <rPr>
        <sz val="11"/>
        <color rgb="FF002060"/>
        <rFont val="Calibri"/>
        <family val="2"/>
        <scheme val="minor"/>
      </rPr>
      <t xml:space="preserve"> </t>
    </r>
    <r>
      <rPr>
        <i/>
        <u/>
        <sz val="11"/>
        <color rgb="FF002060"/>
        <rFont val="Calibri"/>
        <family val="2"/>
        <scheme val="minor"/>
      </rPr>
      <t>et/ou</t>
    </r>
    <r>
      <rPr>
        <b/>
        <sz val="11"/>
        <color rgb="FF002060"/>
        <rFont val="Calibri"/>
        <family val="2"/>
        <scheme val="minor"/>
      </rPr>
      <t xml:space="preserve"> Tickets de Péages </t>
    </r>
    <r>
      <rPr>
        <i/>
        <u/>
        <sz val="11"/>
        <color rgb="FF002060"/>
        <rFont val="Calibri"/>
        <family val="2"/>
        <scheme val="minor"/>
      </rPr>
      <t>et/ou</t>
    </r>
    <r>
      <rPr>
        <b/>
        <sz val="11"/>
        <color rgb="FF002060"/>
        <rFont val="Calibri"/>
        <family val="2"/>
        <scheme val="minor"/>
      </rPr>
      <t xml:space="preserve"> vos attestations d'intérêts</t>
    </r>
    <r>
      <rPr>
        <i/>
        <sz val="9"/>
        <color rgb="FF002060"/>
        <rFont val="Calibri"/>
        <family val="2"/>
        <scheme val="minor"/>
      </rPr>
      <t xml:space="preserve"> (récapitulatif annuel)</t>
    </r>
  </si>
  <si>
    <t>- Logiciel de gestion des stocks</t>
  </si>
  <si>
    <r>
      <t xml:space="preserve">C'est la puissance fiscale du véhicule qui impacte le calcul des ind. Km. </t>
    </r>
    <r>
      <rPr>
        <i/>
        <sz val="10"/>
        <color rgb="FF002060"/>
        <rFont val="Calibri"/>
        <family val="2"/>
        <scheme val="minor"/>
      </rPr>
      <t>(selon le barème en vigueur)</t>
    </r>
  </si>
  <si>
    <t>fin d'année</t>
  </si>
  <si>
    <t>Adresse Domicile</t>
  </si>
  <si>
    <t>Véhicule</t>
  </si>
  <si>
    <r>
      <rPr>
        <b/>
        <sz val="10"/>
        <color rgb="FF002060"/>
        <rFont val="Calibri"/>
        <family val="2"/>
        <scheme val="minor"/>
      </rPr>
      <t>(*)</t>
    </r>
    <r>
      <rPr>
        <i/>
        <sz val="10"/>
        <color rgb="FF002060"/>
        <rFont val="Calibri"/>
        <family val="2"/>
        <scheme val="minor"/>
      </rPr>
      <t xml:space="preserve">  ex: si EVT (évènement) = changement de domicile en date du 20 juillet, 
- alors si 20 jours travaillés en juillet ; indiquez dans "AVANT" le nbr de jours travaillés avant le déménagement (ex 15 jrs) (concernant le domicile au 01/01)
- et, la différence dans "APRES" (ex : 20 - 15 = 5 jrs) (concernant le nouveau logement)
Idem lors d'un changement de véhicule et/ou du lieu de travail  
</t>
    </r>
    <r>
      <rPr>
        <b/>
        <sz val="10"/>
        <color rgb="FF002060"/>
        <rFont val="Calibri"/>
        <family val="2"/>
        <scheme val="minor"/>
      </rPr>
      <t>[Indication de ventilation des jrs selon "</t>
    </r>
    <r>
      <rPr>
        <b/>
        <sz val="11"/>
        <color rgb="FF002060"/>
        <rFont val="Calibri"/>
        <family val="2"/>
        <scheme val="minor"/>
      </rPr>
      <t>&gt;&gt;&gt;</t>
    </r>
    <r>
      <rPr>
        <b/>
        <sz val="10"/>
        <color rgb="FF002060"/>
        <rFont val="Calibri"/>
        <family val="2"/>
        <scheme val="minor"/>
      </rPr>
      <t>"]</t>
    </r>
  </si>
  <si>
    <t>Adresse Travail</t>
  </si>
  <si>
    <t>COLLEGE</t>
  </si>
  <si>
    <t>LYCEE</t>
  </si>
  <si>
    <t>ETUDE SUP</t>
  </si>
  <si>
    <t>En savoir plus ? Exception ?</t>
  </si>
  <si>
    <t>Pour une ou 2 personnes ne partageant pas le même foyer fiscal ou ayant le même foyer fiscal, avec ou sans enfants et/ou 1/2 parts supplémentaires.</t>
  </si>
  <si>
    <t>Nouveauté : Intégration du calcul de vos frais réels avec une 'calculette' multi options (1 changement de lieu de travail et/ou 1 changement de véhicule avec le cas échéant 1 changement de votre lieu de domicile)</t>
  </si>
  <si>
    <r>
      <t xml:space="preserve">         ATTENTION ! Cette calculette ne permet pas d'intégrer plus de 1 changement par catégorie </t>
    </r>
    <r>
      <rPr>
        <i/>
        <sz val="11"/>
        <color rgb="FFFF0000"/>
        <rFont val="Calibri"/>
        <family val="2"/>
        <scheme val="minor"/>
      </rPr>
      <t>(Domicile, Travail et/ou Véhicule)</t>
    </r>
    <r>
      <rPr>
        <b/>
        <sz val="11"/>
        <color rgb="FFFF0000"/>
        <rFont val="Calibri"/>
        <family val="2"/>
        <scheme val="minor"/>
      </rPr>
      <t xml:space="preserve"> </t>
    </r>
    <r>
      <rPr>
        <b/>
        <sz val="16"/>
        <color rgb="FFFF0000"/>
        <rFont val="Calibri"/>
        <family val="2"/>
        <scheme val="minor"/>
      </rPr>
      <t xml:space="preserve">ni plus de 1 EVT par mois. 
RAPPEL : Si UNIQUEMENT a eu lieu un </t>
    </r>
    <r>
      <rPr>
        <b/>
        <u/>
        <sz val="16"/>
        <color rgb="FFFF0000"/>
        <rFont val="Calibri"/>
        <family val="2"/>
        <scheme val="minor"/>
      </rPr>
      <t>changement de domicile</t>
    </r>
    <r>
      <rPr>
        <b/>
        <sz val="16"/>
        <color rgb="FFFF0000"/>
        <rFont val="Calibri"/>
        <family val="2"/>
        <scheme val="minor"/>
      </rPr>
      <t>, merci de réaliser le calcul de vos frais via l'écran simplifié.
SINON, Merci de compléter</t>
    </r>
    <r>
      <rPr>
        <b/>
        <sz val="16"/>
        <color rgb="FF00B0F0"/>
        <rFont val="Calibri"/>
        <family val="2"/>
        <scheme val="minor"/>
      </rPr>
      <t>*</t>
    </r>
    <r>
      <rPr>
        <b/>
        <sz val="16"/>
        <color rgb="FFFF0000"/>
        <rFont val="Calibri"/>
        <family val="2"/>
        <scheme val="minor"/>
      </rPr>
      <t xml:space="preserve"> les cellules 'jaune claire'</t>
    </r>
  </si>
  <si>
    <t>* A compléter 
de Gauche à Droite 
et de Haut en Bas
Points 1 à 4</t>
  </si>
  <si>
    <t>↓↓ NB : Si vous avez acquis votre nouveau véhicule le soir d'une journée travaillée, il convient d'ajouté 1 jr à votre date d'effet ↓↓</t>
  </si>
  <si>
    <t>XLSEVAINSE</t>
  </si>
  <si>
    <t>RFR 1 Déclarant</t>
  </si>
  <si>
    <t>RFR Couple / FF</t>
  </si>
  <si>
    <t>Majoration RFR / enfant</t>
  </si>
  <si>
    <t>Réduction Impot</t>
  </si>
  <si>
    <t>Plafond RFR:</t>
  </si>
  <si>
    <t>Recherche et référence</t>
  </si>
  <si>
    <t>Recherche / Référence</t>
  </si>
  <si>
    <t>BD, finance (9)</t>
  </si>
  <si>
    <t>Budget, gestion de comptes (9)</t>
  </si>
  <si>
    <t>- Gestion des contacts</t>
  </si>
  <si>
    <t>↓ MESSAGE A REPORTER SUR L ECRAN ↓</t>
  </si>
  <si>
    <t>FR</t>
  </si>
  <si>
    <t>EN</t>
  </si>
  <si>
    <t>Formation Pratique VBA</t>
  </si>
  <si>
    <t>Fonctions</t>
  </si>
  <si>
    <t>Liste</t>
  </si>
  <si>
    <t>Add-In</t>
  </si>
  <si>
    <t>Téléchargements</t>
  </si>
  <si>
    <t>Logiciels Excel-Pratique</t>
  </si>
  <si>
    <t>Projets-Pratique</t>
  </si>
  <si>
    <t>Cours Excel (17)</t>
  </si>
  <si>
    <t>Cours VBA (11)</t>
  </si>
  <si>
    <t>Calendriers (13)</t>
  </si>
  <si>
    <t>Comptabilité (8)</t>
  </si>
  <si>
    <t>Gestion du personnel (11)</t>
  </si>
  <si>
    <t>Jeux (35)</t>
  </si>
  <si>
    <t>Loisirs (4)</t>
  </si>
  <si>
    <t>Outils de gestion divers (14)</t>
  </si>
  <si>
    <t>Plannings (7)</t>
  </si>
  <si>
    <t>Sport (10)</t>
  </si>
  <si>
    <t>Utilitaires (23)</t>
  </si>
  <si>
    <t>Inclassables (13)</t>
  </si>
  <si>
    <t>- Comptabilité</t>
  </si>
  <si>
    <t>EXCEL-PRATIQUE</t>
  </si>
  <si>
    <t>Vous avez apprécié ? Cliquez ;-)</t>
  </si>
  <si>
    <t>Estimation IRPP 2018</t>
  </si>
  <si>
    <t>IR2018R2017</t>
  </si>
  <si>
    <t>16.10.2017</t>
  </si>
  <si>
    <t>Téléchargements &gt; BD, finance &gt; Estimation IRPP</t>
  </si>
  <si>
    <t>Formations Excel</t>
  </si>
  <si>
    <t>Formation VBA Avancée</t>
  </si>
  <si>
    <t>Excel-Pratique</t>
  </si>
  <si>
    <t>Liens</t>
  </si>
  <si>
    <t>Site web : Sébastien Mathier © 2004-2018 copie interdite, tous droits réservés.</t>
  </si>
  <si>
    <t>Excel-Pratique.com décline toute responsabilité en cas d'éventuel problème lié à l'utilisation d'une application disponible en téléchargement sur le site. Vous utilisez ces applications à vos risques.</t>
  </si>
  <si>
    <t>DATE MAJ</t>
  </si>
  <si>
    <t>Barème de calcul de vos IK (pour véhicule 4 roues uniquement) 
Barème définitif 2018 (valable pour la déclaration de vos revenus perçus en 2017)</t>
  </si>
  <si>
    <t>- Gestion de projets (Gantt)</t>
  </si>
  <si>
    <t>- Gestion des plannings de travail</t>
  </si>
  <si>
    <t>2'048</t>
  </si>
</sst>
</file>

<file path=xl/styles.xml><?xml version="1.0" encoding="utf-8"?>
<styleSheet xmlns="http://schemas.openxmlformats.org/spreadsheetml/2006/main">
  <numFmts count="28">
    <numFmt numFmtId="44" formatCode="_-* #,##0.00\ &quot;€&quot;_-;\-* #,##0.00\ &quot;€&quot;_-;_-* &quot;-&quot;??\ &quot;€&quot;_-;_-@_-"/>
    <numFmt numFmtId="164" formatCode="_-* #,##0\ &quot;€&quot;_-;\-* #,##0\ &quot;€&quot;_-;_-* &quot;-&quot;??\ &quot;€&quot;_-;_-@_-"/>
    <numFmt numFmtId="165" formatCode="0.0%"/>
    <numFmt numFmtId="166" formatCode="General&quot; mois&quot;"/>
    <numFmt numFmtId="167" formatCode="General&quot; ans&quot;"/>
    <numFmt numFmtId="168" formatCode="00&quot; &quot;00&quot; &quot;000&quot; &quot;000&quot; &quot;000"/>
    <numFmt numFmtId="169" formatCode="00&quot;/&quot;00&quot;/&quot;\1\900"/>
    <numFmt numFmtId="170" formatCode="0,000&quot; €&quot;"/>
    <numFmt numFmtId="171" formatCode="0&quot; €&quot;"/>
    <numFmt numFmtId="172" formatCode="yyyy"/>
    <numFmt numFmtId="173" formatCode="0.00&quot; Km&quot;"/>
    <numFmt numFmtId="174" formatCode="0&quot; CV&quot;"/>
    <numFmt numFmtId="175" formatCode="dd/mm/yy;@"/>
    <numFmt numFmtId="176" formatCode="0&quot; CV et moins&quot;"/>
    <numFmt numFmtId="177" formatCode="0&quot; CV et plus&quot;"/>
    <numFmt numFmtId="178" formatCode="&quot;d x &quot;0.000"/>
    <numFmt numFmtId="179" formatCode="&quot; + &quot;General"/>
    <numFmt numFmtId="180" formatCode="&quot; + &quot;0,000"/>
    <numFmt numFmtId="181" formatCode="&quot;( d x &quot;0.000&quot; )&quot;"/>
    <numFmt numFmtId="182" formatCode="0,000&quot; Km&quot;"/>
    <numFmt numFmtId="183" formatCode="00&quot;/&quot;00&quot;/19&quot;00"/>
    <numFmt numFmtId="184" formatCode="General&quot; jrs&quot;"/>
    <numFmt numFmtId="185" formatCode="&quot;au &quot;dd/mm/yyyy"/>
    <numFmt numFmtId="186" formatCode="&quot;Compteur Km au &quot;dd/mm/yyyy"/>
    <numFmt numFmtId="187" formatCode="0&quot; Km&quot;"/>
    <numFmt numFmtId="188" formatCode="#,##0.00\ &quot;€&quot;"/>
    <numFmt numFmtId="189" formatCode="_-* #,##0.00\ [$€-40C]_-;\-* #,##0.00\ [$€-40C]_-;_-* &quot;-&quot;??\ [$€-40C]_-;_-@_-"/>
    <numFmt numFmtId="190" formatCode="General&quot; jrs travaillés&quot;"/>
  </numFmts>
  <fonts count="128">
    <font>
      <sz val="11"/>
      <color theme="1"/>
      <name val="Calibri"/>
      <family val="2"/>
      <scheme val="minor"/>
    </font>
    <font>
      <b/>
      <sz val="11"/>
      <color theme="1"/>
      <name val="Calibri"/>
      <family val="2"/>
      <scheme val="minor"/>
    </font>
    <font>
      <b/>
      <sz val="12"/>
      <color theme="1"/>
      <name val="Calibri"/>
      <family val="2"/>
      <scheme val="minor"/>
    </font>
    <font>
      <sz val="11"/>
      <color theme="1"/>
      <name val="Calibri"/>
      <family val="2"/>
      <scheme val="minor"/>
    </font>
    <font>
      <i/>
      <sz val="11"/>
      <color theme="1"/>
      <name val="Calibri"/>
      <family val="2"/>
      <scheme val="minor"/>
    </font>
    <font>
      <b/>
      <sz val="20"/>
      <color theme="1"/>
      <name val="Calibri"/>
      <family val="2"/>
      <scheme val="minor"/>
    </font>
    <font>
      <b/>
      <sz val="10"/>
      <color rgb="FF3C3C3C"/>
      <name val="Arial"/>
      <family val="2"/>
    </font>
    <font>
      <sz val="10"/>
      <color rgb="FF3C3C3C"/>
      <name val="Arial"/>
      <family val="2"/>
    </font>
    <font>
      <sz val="11"/>
      <color rgb="FFFF0000"/>
      <name val="Calibri"/>
      <family val="2"/>
      <scheme val="minor"/>
    </font>
    <font>
      <sz val="12"/>
      <color rgb="FFFF0000"/>
      <name val="Calibri"/>
      <family val="2"/>
      <scheme val="minor"/>
    </font>
    <font>
      <sz val="12"/>
      <color rgb="FF008000"/>
      <name val="Calibri"/>
      <family val="2"/>
      <scheme val="minor"/>
    </font>
    <font>
      <i/>
      <sz val="8"/>
      <color theme="1"/>
      <name val="Calibri"/>
      <family val="2"/>
      <scheme val="minor"/>
    </font>
    <font>
      <b/>
      <sz val="9"/>
      <color rgb="FF3C3C3C"/>
      <name val="Arial"/>
      <family val="2"/>
    </font>
    <font>
      <sz val="12"/>
      <color theme="1"/>
      <name val="Calibri"/>
      <family val="2"/>
      <scheme val="minor"/>
    </font>
    <font>
      <b/>
      <sz val="8"/>
      <color indexed="81"/>
      <name val="Tahoma"/>
      <family val="2"/>
    </font>
    <font>
      <i/>
      <sz val="9"/>
      <color rgb="FFFF0000"/>
      <name val="Calibri"/>
      <family val="2"/>
      <scheme val="minor"/>
    </font>
    <font>
      <b/>
      <i/>
      <u/>
      <sz val="11"/>
      <color theme="1"/>
      <name val="Calibri"/>
      <family val="2"/>
      <scheme val="minor"/>
    </font>
    <font>
      <b/>
      <sz val="9"/>
      <color indexed="81"/>
      <name val="Tahoma"/>
      <family val="2"/>
    </font>
    <font>
      <sz val="11"/>
      <name val="Calibri"/>
      <family val="2"/>
      <scheme val="minor"/>
    </font>
    <font>
      <b/>
      <sz val="11"/>
      <name val="Calibri"/>
      <family val="2"/>
      <scheme val="minor"/>
    </font>
    <font>
      <i/>
      <sz val="11"/>
      <name val="Calibri"/>
      <family val="2"/>
      <scheme val="minor"/>
    </font>
    <font>
      <b/>
      <sz val="10"/>
      <name val="Arial"/>
      <family val="2"/>
    </font>
    <font>
      <i/>
      <sz val="10"/>
      <color theme="1"/>
      <name val="Calibri"/>
      <family val="2"/>
      <scheme val="minor"/>
    </font>
    <font>
      <b/>
      <i/>
      <sz val="11"/>
      <color theme="1"/>
      <name val="Calibri"/>
      <family val="2"/>
      <scheme val="minor"/>
    </font>
    <font>
      <b/>
      <sz val="12"/>
      <color rgb="FF008000"/>
      <name val="Calibri"/>
      <family val="2"/>
      <scheme val="minor"/>
    </font>
    <font>
      <i/>
      <u/>
      <sz val="11"/>
      <color theme="1"/>
      <name val="Calibri"/>
      <family val="2"/>
      <scheme val="minor"/>
    </font>
    <font>
      <i/>
      <u/>
      <sz val="10"/>
      <color theme="1"/>
      <name val="Calibri"/>
      <family val="2"/>
      <scheme val="minor"/>
    </font>
    <font>
      <b/>
      <sz val="12"/>
      <color rgb="FFFF0000"/>
      <name val="Calibri"/>
      <family val="2"/>
      <scheme val="minor"/>
    </font>
    <font>
      <b/>
      <sz val="9"/>
      <name val="Arial"/>
      <family val="2"/>
    </font>
    <font>
      <b/>
      <sz val="12"/>
      <color theme="0" tint="-0.249977111117893"/>
      <name val="Calibri"/>
      <family val="2"/>
      <scheme val="minor"/>
    </font>
    <font>
      <b/>
      <sz val="12"/>
      <color theme="0" tint="-4.9989318521683403E-2"/>
      <name val="Calibri"/>
      <family val="2"/>
      <scheme val="minor"/>
    </font>
    <font>
      <b/>
      <sz val="11"/>
      <color rgb="FFFF0000"/>
      <name val="Calibri"/>
      <family val="2"/>
      <scheme val="minor"/>
    </font>
    <font>
      <i/>
      <sz val="8"/>
      <color rgb="FF3C3C3C"/>
      <name val="Arial"/>
      <family val="2"/>
    </font>
    <font>
      <i/>
      <u/>
      <sz val="10"/>
      <color rgb="FF7030A0"/>
      <name val="Arial"/>
      <family val="2"/>
    </font>
    <font>
      <b/>
      <sz val="9"/>
      <color theme="1"/>
      <name val="Calibri"/>
      <family val="2"/>
      <scheme val="minor"/>
    </font>
    <font>
      <i/>
      <sz val="11"/>
      <color rgb="FFFF0000"/>
      <name val="Calibri"/>
      <family val="2"/>
      <scheme val="minor"/>
    </font>
    <font>
      <sz val="11"/>
      <color rgb="FF008000"/>
      <name val="Calibri"/>
      <family val="2"/>
      <scheme val="minor"/>
    </font>
    <font>
      <sz val="18"/>
      <color theme="1"/>
      <name val="Calibri"/>
      <family val="2"/>
      <scheme val="minor"/>
    </font>
    <font>
      <b/>
      <i/>
      <sz val="11"/>
      <color rgb="FFFF0000"/>
      <name val="Calibri"/>
      <family val="2"/>
      <scheme val="minor"/>
    </font>
    <font>
      <b/>
      <sz val="11"/>
      <color rgb="FF008000"/>
      <name val="Calibri"/>
      <family val="2"/>
      <scheme val="minor"/>
    </font>
    <font>
      <b/>
      <sz val="26"/>
      <color theme="1"/>
      <name val="Calibri"/>
      <family val="2"/>
      <scheme val="minor"/>
    </font>
    <font>
      <i/>
      <sz val="11"/>
      <color theme="3" tint="0.79998168889431442"/>
      <name val="Calibri"/>
      <family val="2"/>
      <scheme val="minor"/>
    </font>
    <font>
      <b/>
      <sz val="12"/>
      <name val="Calibri"/>
      <family val="2"/>
      <scheme val="minor"/>
    </font>
    <font>
      <u/>
      <sz val="11"/>
      <color theme="10"/>
      <name val="Calibri"/>
      <family val="2"/>
    </font>
    <font>
      <i/>
      <u/>
      <sz val="11"/>
      <color theme="10"/>
      <name val="Calibri"/>
      <family val="2"/>
    </font>
    <font>
      <b/>
      <u/>
      <sz val="9"/>
      <color theme="10"/>
      <name val="Calibri"/>
      <family val="2"/>
    </font>
    <font>
      <i/>
      <sz val="10"/>
      <color rgb="FF008000"/>
      <name val="Calibri"/>
      <family val="2"/>
      <scheme val="minor"/>
    </font>
    <font>
      <b/>
      <i/>
      <sz val="8"/>
      <color theme="0" tint="-0.14999847407452621"/>
      <name val="Calibri"/>
      <family val="2"/>
      <scheme val="minor"/>
    </font>
    <font>
      <b/>
      <sz val="11"/>
      <color rgb="FF008000"/>
      <name val="Arial"/>
      <family val="2"/>
    </font>
    <font>
      <i/>
      <u/>
      <sz val="9"/>
      <color theme="1"/>
      <name val="Calibri"/>
      <family val="2"/>
      <scheme val="minor"/>
    </font>
    <font>
      <b/>
      <sz val="8"/>
      <color theme="1"/>
      <name val="Calibri"/>
      <family val="2"/>
      <scheme val="minor"/>
    </font>
    <font>
      <b/>
      <sz val="10"/>
      <color theme="1"/>
      <name val="Calibri"/>
      <family val="2"/>
      <scheme val="minor"/>
    </font>
    <font>
      <i/>
      <sz val="10"/>
      <color rgb="FFFF0000"/>
      <name val="Arial"/>
      <family val="2"/>
    </font>
    <font>
      <b/>
      <sz val="9"/>
      <name val="Calibri"/>
      <family val="2"/>
      <scheme val="minor"/>
    </font>
    <font>
      <sz val="10"/>
      <color theme="1"/>
      <name val="Calibri"/>
      <family val="2"/>
      <scheme val="minor"/>
    </font>
    <font>
      <b/>
      <sz val="9"/>
      <color rgb="FFFF0000"/>
      <name val="Calibri"/>
      <family val="2"/>
      <scheme val="minor"/>
    </font>
    <font>
      <b/>
      <sz val="11"/>
      <color theme="0" tint="-0.34998626667073579"/>
      <name val="Calibri"/>
      <family val="2"/>
      <scheme val="minor"/>
    </font>
    <font>
      <i/>
      <u/>
      <sz val="10"/>
      <color theme="0" tint="-0.34998626667073579"/>
      <name val="Calibri"/>
      <family val="2"/>
    </font>
    <font>
      <b/>
      <sz val="24"/>
      <color theme="1"/>
      <name val="Calibri"/>
      <family val="2"/>
      <scheme val="minor"/>
    </font>
    <font>
      <b/>
      <sz val="18"/>
      <color rgb="FF00B050"/>
      <name val="Calibri"/>
      <family val="2"/>
      <scheme val="minor"/>
    </font>
    <font>
      <b/>
      <sz val="12"/>
      <color rgb="FF0070C0"/>
      <name val="Calibri"/>
      <family val="2"/>
      <scheme val="minor"/>
    </font>
    <font>
      <b/>
      <sz val="11"/>
      <color rgb="FFFFFFFF"/>
      <name val="Arial"/>
      <family val="2"/>
    </font>
    <font>
      <b/>
      <u/>
      <sz val="11"/>
      <color theme="1"/>
      <name val="Calibri"/>
      <family val="2"/>
      <scheme val="minor"/>
    </font>
    <font>
      <sz val="12"/>
      <color rgb="FF000000"/>
      <name val="Calibri"/>
      <family val="2"/>
      <scheme val="minor"/>
    </font>
    <font>
      <b/>
      <sz val="48"/>
      <color theme="3" tint="-0.499984740745262"/>
      <name val="Calibri"/>
      <family val="2"/>
      <scheme val="minor"/>
    </font>
    <font>
      <b/>
      <u/>
      <sz val="12"/>
      <color theme="10"/>
      <name val="Calibri"/>
      <family val="2"/>
    </font>
    <font>
      <i/>
      <sz val="9"/>
      <color theme="1"/>
      <name val="Calibri"/>
      <family val="2"/>
      <scheme val="minor"/>
    </font>
    <font>
      <b/>
      <u/>
      <sz val="11"/>
      <color theme="10"/>
      <name val="Calibri"/>
      <family val="2"/>
    </font>
    <font>
      <b/>
      <i/>
      <sz val="11"/>
      <color rgb="FF008000"/>
      <name val="Calibri"/>
      <family val="2"/>
      <scheme val="minor"/>
    </font>
    <font>
      <sz val="9"/>
      <color indexed="81"/>
      <name val="Tahoma"/>
      <family val="2"/>
    </font>
    <font>
      <b/>
      <u/>
      <sz val="11"/>
      <color rgb="FFFF0000"/>
      <name val="Calibri"/>
      <family val="2"/>
      <scheme val="minor"/>
    </font>
    <font>
      <b/>
      <sz val="9"/>
      <color rgb="FFFFFFFF"/>
      <name val="Arial"/>
      <family val="2"/>
    </font>
    <font>
      <b/>
      <i/>
      <sz val="9"/>
      <color rgb="FFFF0000"/>
      <name val="Calibri"/>
      <family val="2"/>
      <scheme val="minor"/>
    </font>
    <font>
      <b/>
      <u/>
      <sz val="12"/>
      <color rgb="FF008000"/>
      <name val="Calibri"/>
      <family val="2"/>
    </font>
    <font>
      <u/>
      <sz val="11"/>
      <color theme="1"/>
      <name val="Calibri"/>
      <family val="2"/>
      <scheme val="minor"/>
    </font>
    <font>
      <sz val="9"/>
      <color indexed="81"/>
      <name val="Tahoma"/>
      <charset val="1"/>
    </font>
    <font>
      <b/>
      <i/>
      <sz val="10"/>
      <color rgb="FFFF0000"/>
      <name val="Calibri"/>
      <family val="2"/>
      <scheme val="minor"/>
    </font>
    <font>
      <i/>
      <u/>
      <sz val="14"/>
      <color rgb="FF7030A0"/>
      <name val="Arial"/>
      <family val="2"/>
    </font>
    <font>
      <u/>
      <sz val="9"/>
      <color indexed="81"/>
      <name val="Tahoma"/>
      <family val="2"/>
    </font>
    <font>
      <i/>
      <sz val="9"/>
      <color indexed="81"/>
      <name val="Tahoma"/>
      <family val="2"/>
    </font>
    <font>
      <b/>
      <u/>
      <sz val="9"/>
      <color indexed="81"/>
      <name val="Tahoma"/>
      <family val="2"/>
    </font>
    <font>
      <b/>
      <sz val="14"/>
      <color rgb="FF008000"/>
      <name val="Calibri"/>
      <family val="2"/>
      <scheme val="minor"/>
    </font>
    <font>
      <b/>
      <sz val="16"/>
      <color rgb="FF008000"/>
      <name val="Calibri"/>
      <family val="2"/>
      <scheme val="minor"/>
    </font>
    <font>
      <b/>
      <i/>
      <u/>
      <sz val="14"/>
      <color theme="1"/>
      <name val="Calibri"/>
      <family val="2"/>
      <scheme val="minor"/>
    </font>
    <font>
      <b/>
      <u/>
      <sz val="14"/>
      <color theme="10"/>
      <name val="Calibri"/>
      <family val="2"/>
    </font>
    <font>
      <b/>
      <sz val="9"/>
      <color rgb="FF008000"/>
      <name val="Arial"/>
      <family val="2"/>
    </font>
    <font>
      <sz val="8"/>
      <name val="Verdana"/>
      <family val="2"/>
    </font>
    <font>
      <b/>
      <sz val="8"/>
      <name val="Verdana"/>
      <family val="2"/>
    </font>
    <font>
      <b/>
      <i/>
      <u/>
      <sz val="9"/>
      <color theme="0" tint="-0.34998626667073579"/>
      <name val="Calibri"/>
      <family val="2"/>
    </font>
    <font>
      <b/>
      <sz val="11"/>
      <color rgb="FF7030A0"/>
      <name val="Calibri"/>
      <family val="2"/>
      <scheme val="minor"/>
    </font>
    <font>
      <b/>
      <i/>
      <sz val="8"/>
      <color rgb="FFFF0000"/>
      <name val="Calibri"/>
      <family val="2"/>
      <scheme val="minor"/>
    </font>
    <font>
      <b/>
      <i/>
      <u/>
      <sz val="14"/>
      <color theme="10"/>
      <name val="Calibri"/>
      <family val="2"/>
    </font>
    <font>
      <b/>
      <sz val="14"/>
      <color rgb="FFFF0000"/>
      <name val="Calibri"/>
      <family val="2"/>
      <scheme val="minor"/>
    </font>
    <font>
      <b/>
      <sz val="8"/>
      <color rgb="FFFF0000"/>
      <name val="Verdana"/>
      <family val="2"/>
    </font>
    <font>
      <b/>
      <sz val="10"/>
      <color rgb="FF008000"/>
      <name val="Arial"/>
      <family val="2"/>
    </font>
    <font>
      <sz val="10"/>
      <color rgb="FF008000"/>
      <name val="Arial"/>
      <family val="2"/>
    </font>
    <font>
      <b/>
      <sz val="12"/>
      <color theme="0"/>
      <name val="Calibri"/>
      <family val="2"/>
      <scheme val="minor"/>
    </font>
    <font>
      <b/>
      <i/>
      <sz val="10"/>
      <color rgb="FF008000"/>
      <name val="Calibri"/>
      <family val="2"/>
      <scheme val="minor"/>
    </font>
    <font>
      <b/>
      <sz val="16"/>
      <color rgb="FFFF0000"/>
      <name val="Calibri"/>
      <family val="2"/>
      <scheme val="minor"/>
    </font>
    <font>
      <b/>
      <sz val="11"/>
      <color rgb="FF0070C0"/>
      <name val="Calibri"/>
      <family val="2"/>
      <scheme val="minor"/>
    </font>
    <font>
      <i/>
      <sz val="10"/>
      <color rgb="FF002060"/>
      <name val="Calibri"/>
      <family val="2"/>
      <scheme val="minor"/>
    </font>
    <font>
      <b/>
      <sz val="10"/>
      <color rgb="FF002060"/>
      <name val="Calibri"/>
      <family val="2"/>
      <scheme val="minor"/>
    </font>
    <font>
      <b/>
      <sz val="11"/>
      <color theme="0"/>
      <name val="Calibri"/>
      <family val="2"/>
      <scheme val="minor"/>
    </font>
    <font>
      <b/>
      <u/>
      <sz val="11"/>
      <color rgb="FFFF0000"/>
      <name val="Calibri"/>
      <family val="2"/>
    </font>
    <font>
      <sz val="10"/>
      <name val="Calibri"/>
      <family val="2"/>
      <scheme val="minor"/>
    </font>
    <font>
      <b/>
      <i/>
      <sz val="8"/>
      <color rgb="FFFF0000"/>
      <name val="Calibri"/>
      <family val="2"/>
    </font>
    <font>
      <b/>
      <i/>
      <sz val="10"/>
      <color rgb="FF002060"/>
      <name val="Calibri"/>
      <family val="2"/>
      <scheme val="minor"/>
    </font>
    <font>
      <b/>
      <sz val="11"/>
      <color rgb="FF002060"/>
      <name val="Calibri"/>
      <family val="2"/>
      <scheme val="minor"/>
    </font>
    <font>
      <b/>
      <sz val="10.5"/>
      <color rgb="FF002060"/>
      <name val="Calibri"/>
      <family val="2"/>
      <scheme val="minor"/>
    </font>
    <font>
      <i/>
      <sz val="9"/>
      <color rgb="FF002060"/>
      <name val="Calibri"/>
      <family val="2"/>
      <scheme val="minor"/>
    </font>
    <font>
      <sz val="11"/>
      <color rgb="FF002060"/>
      <name val="Calibri"/>
      <family val="2"/>
      <scheme val="minor"/>
    </font>
    <font>
      <i/>
      <u/>
      <sz val="11"/>
      <color rgb="FF002060"/>
      <name val="Calibri"/>
      <family val="2"/>
      <scheme val="minor"/>
    </font>
    <font>
      <i/>
      <u/>
      <sz val="11"/>
      <name val="Calibri"/>
      <family val="2"/>
      <scheme val="minor"/>
    </font>
    <font>
      <b/>
      <i/>
      <sz val="8"/>
      <color rgb="FF002060"/>
      <name val="Calibri"/>
      <family val="2"/>
      <scheme val="minor"/>
    </font>
    <font>
      <sz val="8"/>
      <color theme="1"/>
      <name val="Calibri"/>
      <family val="2"/>
    </font>
    <font>
      <b/>
      <sz val="12"/>
      <color rgb="FF002060"/>
      <name val="Calibri"/>
      <family val="2"/>
      <scheme val="minor"/>
    </font>
    <font>
      <b/>
      <i/>
      <sz val="11"/>
      <color rgb="FF002060"/>
      <name val="Calibri"/>
      <family val="2"/>
      <scheme val="minor"/>
    </font>
    <font>
      <i/>
      <sz val="11"/>
      <color rgb="FF002060"/>
      <name val="Calibri"/>
      <family val="2"/>
      <scheme val="minor"/>
    </font>
    <font>
      <b/>
      <u/>
      <sz val="16"/>
      <color rgb="FFFF0000"/>
      <name val="Calibri"/>
      <family val="2"/>
      <scheme val="minor"/>
    </font>
    <font>
      <b/>
      <i/>
      <sz val="9"/>
      <color indexed="81"/>
      <name val="Tahoma"/>
      <family val="2"/>
    </font>
    <font>
      <b/>
      <sz val="16"/>
      <color rgb="FF00B0F0"/>
      <name val="Calibri"/>
      <family val="2"/>
      <scheme val="minor"/>
    </font>
    <font>
      <b/>
      <i/>
      <sz val="11"/>
      <color rgb="FF00B0F0"/>
      <name val="Calibri"/>
      <family val="2"/>
      <scheme val="minor"/>
    </font>
    <font>
      <b/>
      <i/>
      <sz val="12"/>
      <color rgb="FFFF0000"/>
      <name val="Calibri"/>
      <family val="2"/>
      <scheme val="minor"/>
    </font>
    <font>
      <b/>
      <u/>
      <sz val="14"/>
      <color rgb="FF008000"/>
      <name val="Calibri"/>
      <family val="2"/>
    </font>
    <font>
      <b/>
      <sz val="9"/>
      <color indexed="10"/>
      <name val="Tahoma"/>
      <family val="2"/>
    </font>
    <font>
      <sz val="11"/>
      <color rgb="FF333333"/>
      <name val="Arial"/>
      <family val="2"/>
    </font>
    <font>
      <b/>
      <sz val="24"/>
      <color rgb="FF177245"/>
      <name val="Arial"/>
      <family val="2"/>
    </font>
    <font>
      <sz val="9.9"/>
      <color rgb="FF888888"/>
      <name val="Arial"/>
      <family val="2"/>
    </font>
  </fonts>
  <fills count="29">
    <fill>
      <patternFill patternType="none"/>
    </fill>
    <fill>
      <patternFill patternType="gray125"/>
    </fill>
    <fill>
      <patternFill patternType="solid">
        <fgColor rgb="FFECECEC"/>
        <bgColor indexed="64"/>
      </patternFill>
    </fill>
    <fill>
      <patternFill patternType="solid">
        <fgColor theme="0"/>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FFFF99"/>
        <bgColor indexed="64"/>
      </patternFill>
    </fill>
    <fill>
      <patternFill patternType="solid">
        <fgColor theme="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rgb="FF0070C0"/>
        <bgColor indexed="64"/>
      </patternFill>
    </fill>
    <fill>
      <patternFill patternType="solid">
        <fgColor rgb="FF006FB9"/>
        <bgColor indexed="64"/>
      </patternFill>
    </fill>
    <fill>
      <patternFill patternType="solid">
        <fgColor rgb="FF00B0F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C000"/>
        <bgColor indexed="64"/>
      </patternFill>
    </fill>
    <fill>
      <patternFill patternType="solid">
        <fgColor theme="0" tint="-0.34998626667073579"/>
        <bgColor indexed="64"/>
      </patternFill>
    </fill>
    <fill>
      <patternFill patternType="solid">
        <fgColor rgb="FFDDDDDD"/>
        <bgColor indexed="64"/>
      </patternFill>
    </fill>
    <fill>
      <patternFill patternType="solid">
        <fgColor indexed="13"/>
        <bgColor indexed="64"/>
      </patternFill>
    </fill>
    <fill>
      <patternFill patternType="solid">
        <fgColor indexed="51"/>
        <bgColor indexed="64"/>
      </patternFill>
    </fill>
    <fill>
      <patternFill patternType="solid">
        <fgColor rgb="FF92D050"/>
        <bgColor indexed="64"/>
      </patternFill>
    </fill>
    <fill>
      <patternFill patternType="solid">
        <fgColor rgb="FFFF0000"/>
        <bgColor indexed="64"/>
      </patternFill>
    </fill>
    <fill>
      <patternFill patternType="solid">
        <fgColor theme="0" tint="-0.249977111117893"/>
        <bgColor indexed="64"/>
      </patternFill>
    </fill>
    <fill>
      <patternFill patternType="solid">
        <fgColor rgb="FF002060"/>
        <bgColor indexed="64"/>
      </patternFill>
    </fill>
    <fill>
      <patternFill patternType="solid">
        <fgColor theme="8" tint="0.39997558519241921"/>
        <bgColor indexed="64"/>
      </patternFill>
    </fill>
    <fill>
      <patternFill patternType="solid">
        <fgColor rgb="FF008000"/>
        <bgColor indexed="64"/>
      </patternFill>
    </fill>
  </fills>
  <borders count="163">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theme="0" tint="-0.34998626667073579"/>
      </left>
      <right/>
      <top style="medium">
        <color theme="0" tint="-0.34998626667073579"/>
      </top>
      <bottom style="medium">
        <color indexed="64"/>
      </bottom>
      <diagonal/>
    </border>
    <border>
      <left style="medium">
        <color indexed="64"/>
      </left>
      <right style="thin">
        <color indexed="64"/>
      </right>
      <top style="medium">
        <color theme="0" tint="-0.34998626667073579"/>
      </top>
      <bottom style="medium">
        <color indexed="64"/>
      </bottom>
      <diagonal/>
    </border>
    <border>
      <left style="thin">
        <color indexed="64"/>
      </left>
      <right style="medium">
        <color indexed="64"/>
      </right>
      <top style="medium">
        <color theme="0" tint="-0.34998626667073579"/>
      </top>
      <bottom style="medium">
        <color indexed="64"/>
      </bottom>
      <diagonal/>
    </border>
    <border>
      <left style="medium">
        <color indexed="64"/>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style="medium">
        <color indexed="64"/>
      </right>
      <top style="medium">
        <color indexed="64"/>
      </top>
      <bottom style="medium">
        <color indexed="64"/>
      </bottom>
      <diagonal/>
    </border>
    <border>
      <left/>
      <right style="medium">
        <color theme="0" tint="-0.34998626667073579"/>
      </right>
      <top/>
      <bottom/>
      <diagonal/>
    </border>
    <border>
      <left style="medium">
        <color theme="0" tint="-0.34998626667073579"/>
      </left>
      <right style="medium">
        <color indexed="64"/>
      </right>
      <top style="medium">
        <color indexed="64"/>
      </top>
      <bottom/>
      <diagonal/>
    </border>
    <border>
      <left style="medium">
        <color theme="0" tint="-0.34998626667073579"/>
      </left>
      <right style="medium">
        <color indexed="64"/>
      </right>
      <top/>
      <bottom/>
      <diagonal/>
    </border>
    <border>
      <left style="medium">
        <color theme="0" tint="-0.34998626667073579"/>
      </left>
      <right/>
      <top style="medium">
        <color indexed="64"/>
      </top>
      <bottom/>
      <diagonal/>
    </border>
    <border>
      <left style="medium">
        <color theme="0" tint="-0.34998626667073579"/>
      </left>
      <right style="medium">
        <color indexed="64"/>
      </right>
      <top style="medium">
        <color indexed="64"/>
      </top>
      <bottom style="thin">
        <color indexed="64"/>
      </bottom>
      <diagonal/>
    </border>
    <border>
      <left style="medium">
        <color theme="0" tint="-0.34998626667073579"/>
      </left>
      <right style="medium">
        <color indexed="64"/>
      </right>
      <top style="thin">
        <color indexed="64"/>
      </top>
      <bottom style="thin">
        <color indexed="64"/>
      </bottom>
      <diagonal/>
    </border>
    <border>
      <left style="medium">
        <color theme="0" tint="-0.34998626667073579"/>
      </left>
      <right style="medium">
        <color indexed="64"/>
      </right>
      <top style="thin">
        <color indexed="64"/>
      </top>
      <bottom/>
      <diagonal/>
    </border>
    <border>
      <left style="medium">
        <color theme="0" tint="-0.34998626667073579"/>
      </left>
      <right style="medium">
        <color indexed="64"/>
      </right>
      <top style="thin">
        <color indexed="64"/>
      </top>
      <bottom style="medium">
        <color indexed="64"/>
      </bottom>
      <diagonal/>
    </border>
    <border>
      <left/>
      <right style="medium">
        <color theme="0" tint="-0.34998626667073579"/>
      </right>
      <top/>
      <bottom style="medium">
        <color indexed="64"/>
      </bottom>
      <diagonal/>
    </border>
    <border>
      <left/>
      <right style="medium">
        <color theme="0" tint="-0.34998626667073579"/>
      </right>
      <top style="medium">
        <color indexed="64"/>
      </top>
      <bottom/>
      <diagonal/>
    </border>
    <border>
      <left style="medium">
        <color theme="0" tint="-0.34998626667073579"/>
      </left>
      <right/>
      <top/>
      <bottom style="medium">
        <color indexed="64"/>
      </bottom>
      <diagonal/>
    </border>
    <border>
      <left style="medium">
        <color indexed="64"/>
      </left>
      <right style="medium">
        <color theme="0" tint="-0.34998626667073579"/>
      </right>
      <top style="medium">
        <color indexed="64"/>
      </top>
      <bottom/>
      <diagonal/>
    </border>
    <border>
      <left style="medium">
        <color indexed="64"/>
      </left>
      <right style="medium">
        <color theme="0" tint="-0.34998626667073579"/>
      </right>
      <top/>
      <bottom/>
      <diagonal/>
    </border>
    <border>
      <left style="medium">
        <color theme="0" tint="-0.34998626667073579"/>
      </left>
      <right/>
      <top/>
      <bottom/>
      <diagonal/>
    </border>
    <border>
      <left style="medium">
        <color theme="0" tint="-0.34998626667073579"/>
      </left>
      <right/>
      <top style="medium">
        <color indexed="64"/>
      </top>
      <bottom style="medium">
        <color indexed="64"/>
      </bottom>
      <diagonal/>
    </border>
    <border>
      <left style="medium">
        <color indexed="64"/>
      </left>
      <right style="medium">
        <color theme="0" tint="-0.34998626667073579"/>
      </right>
      <top/>
      <bottom style="medium">
        <color indexed="64"/>
      </bottom>
      <diagonal/>
    </border>
    <border>
      <left style="medium">
        <color theme="0" tint="-0.34998626667073579"/>
      </left>
      <right/>
      <top/>
      <bottom style="medium">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medium">
        <color theme="0" tint="-0.34998626667073579"/>
      </left>
      <right/>
      <top style="medium">
        <color theme="0" tint="-0.34998626667073579"/>
      </top>
      <bottom/>
      <diagonal/>
    </border>
    <border>
      <left/>
      <right style="thin">
        <color indexed="64"/>
      </right>
      <top style="medium">
        <color theme="0" tint="-0.34998626667073579"/>
      </top>
      <bottom/>
      <diagonal/>
    </border>
    <border>
      <left style="thin">
        <color indexed="64"/>
      </left>
      <right style="medium">
        <color theme="0" tint="-0.34998626667073579"/>
      </right>
      <top style="medium">
        <color theme="0" tint="-0.34998626667073579"/>
      </top>
      <bottom style="thin">
        <color indexed="64"/>
      </bottom>
      <diagonal/>
    </border>
    <border>
      <left style="medium">
        <color theme="0" tint="-0.34998626667073579"/>
      </left>
      <right/>
      <top/>
      <bottom style="thin">
        <color indexed="64"/>
      </bottom>
      <diagonal/>
    </border>
    <border>
      <left style="thin">
        <color indexed="64"/>
      </left>
      <right style="medium">
        <color theme="0" tint="-0.34998626667073579"/>
      </right>
      <top style="thin">
        <color indexed="64"/>
      </top>
      <bottom style="thin">
        <color indexed="64"/>
      </bottom>
      <diagonal/>
    </border>
    <border>
      <left style="thin">
        <color theme="0" tint="-0.34998626667073579"/>
      </left>
      <right/>
      <top style="thin">
        <color theme="0" tint="-0.34998626667073579"/>
      </top>
      <bottom/>
      <diagonal/>
    </border>
    <border>
      <left style="thin">
        <color indexed="64"/>
      </left>
      <right/>
      <top style="thin">
        <color theme="0" tint="-0.34998626667073579"/>
      </top>
      <bottom/>
      <diagonal/>
    </border>
    <border>
      <left/>
      <right style="thin">
        <color indexed="64"/>
      </right>
      <top style="thin">
        <color theme="0" tint="-0.34998626667073579"/>
      </top>
      <bottom/>
      <diagonal/>
    </border>
    <border>
      <left style="thin">
        <color indexed="64"/>
      </left>
      <right style="thin">
        <color indexed="64"/>
      </right>
      <top style="thin">
        <color theme="0" tint="-0.34998626667073579"/>
      </top>
      <bottom/>
      <diagonal/>
    </border>
    <border>
      <left/>
      <right style="medium">
        <color indexed="64"/>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indexed="64"/>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indexed="64"/>
      </right>
      <top style="thin">
        <color theme="0" tint="-0.34998626667073579"/>
      </top>
      <bottom style="thin">
        <color indexed="64"/>
      </bottom>
      <diagonal/>
    </border>
    <border>
      <left style="thin">
        <color indexed="64"/>
      </left>
      <right style="thin">
        <color indexed="64"/>
      </right>
      <top style="thin">
        <color theme="0" tint="-0.34998626667073579"/>
      </top>
      <bottom style="thin">
        <color indexed="64"/>
      </bottom>
      <diagonal/>
    </border>
    <border>
      <left/>
      <right style="thin">
        <color indexed="64"/>
      </right>
      <top style="thin">
        <color theme="0" tint="-0.34998626667073579"/>
      </top>
      <bottom style="thin">
        <color indexed="64"/>
      </bottom>
      <diagonal/>
    </border>
    <border>
      <left style="thin">
        <color theme="0" tint="-0.34998626667073579"/>
      </left>
      <right style="thin">
        <color indexed="64"/>
      </right>
      <top style="thin">
        <color indexed="64"/>
      </top>
      <bottom style="thin">
        <color indexed="64"/>
      </bottom>
      <diagonal/>
    </border>
    <border>
      <left style="thin">
        <color theme="0" tint="-0.34998626667073579"/>
      </left>
      <right style="thin">
        <color indexed="64"/>
      </right>
      <top style="thin">
        <color indexed="64"/>
      </top>
      <bottom style="thin">
        <color theme="0" tint="-0.34998626667073579"/>
      </bottom>
      <diagonal/>
    </border>
    <border>
      <left style="thin">
        <color theme="0" tint="-0.34998626667073579"/>
      </left>
      <right/>
      <top style="thin">
        <color theme="0" tint="-0.34998626667073579"/>
      </top>
      <bottom style="thin">
        <color indexed="64"/>
      </bottom>
      <diagonal/>
    </border>
    <border>
      <left/>
      <right/>
      <top style="thin">
        <color theme="0" tint="-0.34998626667073579"/>
      </top>
      <bottom style="thin">
        <color indexed="64"/>
      </bottom>
      <diagonal/>
    </border>
    <border>
      <left/>
      <right style="medium">
        <color indexed="64"/>
      </right>
      <top style="thin">
        <color theme="0" tint="-0.34998626667073579"/>
      </top>
      <bottom style="thin">
        <color indexed="64"/>
      </bottom>
      <diagonal/>
    </border>
    <border>
      <left style="medium">
        <color indexed="64"/>
      </left>
      <right/>
      <top style="thin">
        <color theme="0" tint="-0.34998626667073579"/>
      </top>
      <bottom style="thin">
        <color indexed="64"/>
      </bottom>
      <diagonal/>
    </border>
    <border>
      <left style="thin">
        <color indexed="64"/>
      </left>
      <right style="thin">
        <color theme="0" tint="-0.34998626667073579"/>
      </right>
      <top style="thin">
        <color theme="0" tint="-0.34998626667073579"/>
      </top>
      <bottom style="thin">
        <color indexed="64"/>
      </bottom>
      <diagonal/>
    </border>
    <border>
      <left style="thin">
        <color indexed="64"/>
      </left>
      <right style="thin">
        <color theme="0" tint="-0.34998626667073579"/>
      </right>
      <top style="medium">
        <color indexed="64"/>
      </top>
      <bottom style="thin">
        <color indexed="64"/>
      </bottom>
      <diagonal/>
    </border>
    <border>
      <left style="thin">
        <color indexed="64"/>
      </left>
      <right style="thin">
        <color theme="0" tint="-0.34998626667073579"/>
      </right>
      <top style="thin">
        <color indexed="64"/>
      </top>
      <bottom style="thin">
        <color indexed="64"/>
      </bottom>
      <diagonal/>
    </border>
    <border>
      <left style="thin">
        <color theme="0" tint="-0.34998626667073579"/>
      </left>
      <right/>
      <top style="thin">
        <color theme="0" tint="-0.34998626667073579"/>
      </top>
      <bottom style="medium">
        <color indexed="64"/>
      </bottom>
      <diagonal/>
    </border>
    <border>
      <left style="medium">
        <color indexed="64"/>
      </left>
      <right style="thin">
        <color indexed="64"/>
      </right>
      <top style="thin">
        <color theme="0" tint="-0.34998626667073579"/>
      </top>
      <bottom style="medium">
        <color indexed="64"/>
      </bottom>
      <diagonal/>
    </border>
    <border>
      <left style="thin">
        <color indexed="64"/>
      </left>
      <right style="medium">
        <color indexed="64"/>
      </right>
      <top style="thin">
        <color theme="0" tint="-0.34998626667073579"/>
      </top>
      <bottom style="medium">
        <color indexed="64"/>
      </bottom>
      <diagonal/>
    </border>
    <border>
      <left style="thin">
        <color indexed="64"/>
      </left>
      <right style="thin">
        <color indexed="64"/>
      </right>
      <top style="thin">
        <color theme="0" tint="-0.34998626667073579"/>
      </top>
      <bottom style="medium">
        <color indexed="64"/>
      </bottom>
      <diagonal/>
    </border>
    <border>
      <left style="thin">
        <color indexed="64"/>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medium">
        <color indexed="64"/>
      </top>
      <bottom style="medium">
        <color indexed="64"/>
      </bottom>
      <diagonal/>
    </border>
    <border>
      <left/>
      <right style="thin">
        <color theme="0" tint="-0.34998626667073579"/>
      </right>
      <top style="medium">
        <color indexed="64"/>
      </top>
      <bottom style="medium">
        <color indexed="64"/>
      </bottom>
      <diagonal/>
    </border>
    <border>
      <left style="thin">
        <color theme="0" tint="-0.34998626667073579"/>
      </left>
      <right style="medium">
        <color indexed="64"/>
      </right>
      <top style="medium">
        <color indexed="64"/>
      </top>
      <bottom/>
      <diagonal/>
    </border>
    <border>
      <left/>
      <right style="thin">
        <color theme="0" tint="-0.34998626667073579"/>
      </right>
      <top style="medium">
        <color indexed="64"/>
      </top>
      <bottom/>
      <diagonal/>
    </border>
    <border>
      <left style="thin">
        <color theme="0" tint="-0.34998626667073579"/>
      </left>
      <right style="medium">
        <color indexed="64"/>
      </right>
      <top/>
      <bottom/>
      <diagonal/>
    </border>
    <border>
      <left style="thin">
        <color theme="0" tint="-0.34998626667073579"/>
      </left>
      <right/>
      <top style="medium">
        <color indexed="64"/>
      </top>
      <bottom/>
      <diagonal/>
    </border>
    <border>
      <left style="thin">
        <color theme="0" tint="-0.34998626667073579"/>
      </left>
      <right style="medium">
        <color indexed="64"/>
      </right>
      <top style="medium">
        <color indexed="64"/>
      </top>
      <bottom style="thin">
        <color indexed="64"/>
      </bottom>
      <diagonal/>
    </border>
    <border>
      <left style="thin">
        <color theme="0" tint="-0.34998626667073579"/>
      </left>
      <right style="medium">
        <color indexed="64"/>
      </right>
      <top style="thin">
        <color indexed="64"/>
      </top>
      <bottom style="thin">
        <color indexed="64"/>
      </bottom>
      <diagonal/>
    </border>
    <border>
      <left style="thin">
        <color indexed="64"/>
      </left>
      <right style="thin">
        <color theme="0" tint="-0.34998626667073579"/>
      </right>
      <top/>
      <bottom style="thin">
        <color indexed="64"/>
      </bottom>
      <diagonal/>
    </border>
    <border>
      <left style="thin">
        <color theme="0" tint="-0.34998626667073579"/>
      </left>
      <right style="medium">
        <color indexed="64"/>
      </right>
      <top style="thin">
        <color indexed="64"/>
      </top>
      <bottom/>
      <diagonal/>
    </border>
    <border>
      <left style="thin">
        <color indexed="64"/>
      </left>
      <right style="thin">
        <color theme="0" tint="-0.34998626667073579"/>
      </right>
      <top style="thin">
        <color indexed="64"/>
      </top>
      <bottom/>
      <diagonal/>
    </border>
    <border>
      <left style="thin">
        <color theme="0" tint="-0.34998626667073579"/>
      </left>
      <right style="medium">
        <color indexed="64"/>
      </right>
      <top style="thin">
        <color indexed="64"/>
      </top>
      <bottom style="medium">
        <color indexed="64"/>
      </bottom>
      <diagonal/>
    </border>
    <border>
      <left style="thin">
        <color indexed="64"/>
      </left>
      <right style="thin">
        <color theme="0" tint="-0.34998626667073579"/>
      </right>
      <top style="thin">
        <color indexed="64"/>
      </top>
      <bottom style="medium">
        <color indexed="64"/>
      </bottom>
      <diagonal/>
    </border>
    <border>
      <left style="thin">
        <color theme="0" tint="-0.34998626667073579"/>
      </left>
      <right/>
      <top/>
      <bottom style="medium">
        <color indexed="64"/>
      </bottom>
      <diagonal/>
    </border>
    <border>
      <left/>
      <right style="thin">
        <color theme="0" tint="-0.34998626667073579"/>
      </right>
      <top/>
      <bottom style="medium">
        <color indexed="64"/>
      </bottom>
      <diagonal/>
    </border>
    <border>
      <left style="medium">
        <color indexed="64"/>
      </left>
      <right style="thin">
        <color theme="0" tint="-0.34998626667073579"/>
      </right>
      <top style="medium">
        <color indexed="64"/>
      </top>
      <bottom/>
      <diagonal/>
    </border>
    <border>
      <left style="medium">
        <color indexed="64"/>
      </left>
      <right style="thin">
        <color theme="0" tint="-0.34998626667073579"/>
      </right>
      <top style="medium">
        <color indexed="64"/>
      </top>
      <bottom style="thin">
        <color indexed="64"/>
      </bottom>
      <diagonal/>
    </border>
    <border>
      <left style="medium">
        <color indexed="64"/>
      </left>
      <right style="thin">
        <color theme="0" tint="-0.34998626667073579"/>
      </right>
      <top style="thin">
        <color indexed="64"/>
      </top>
      <bottom style="medium">
        <color indexed="64"/>
      </bottom>
      <diagonal/>
    </border>
    <border>
      <left style="medium">
        <color indexed="64"/>
      </left>
      <right style="thin">
        <color theme="0" tint="-0.34998626667073579"/>
      </right>
      <top/>
      <bottom style="thin">
        <color indexed="64"/>
      </bottom>
      <diagonal/>
    </border>
    <border>
      <left style="thin">
        <color theme="0" tint="-0.34998626667073579"/>
      </left>
      <right/>
      <top style="medium">
        <color indexed="64"/>
      </top>
      <bottom style="medium">
        <color indexed="64"/>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top/>
      <bottom style="thin">
        <color theme="0" tint="-0.34998626667073579"/>
      </bottom>
      <diagonal/>
    </border>
    <border>
      <left style="medium">
        <color theme="0"/>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style="thin">
        <color theme="0" tint="-0.34998626667073579"/>
      </left>
      <right style="thin">
        <color indexed="64"/>
      </right>
      <top style="thin">
        <color indexed="64"/>
      </top>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theme="0" tint="-0.34998626667073579"/>
      </bottom>
      <diagonal/>
    </border>
    <border>
      <left style="thin">
        <color indexed="64"/>
      </left>
      <right style="thin">
        <color theme="0" tint="-0.34998626667073579"/>
      </right>
      <top/>
      <bottom style="thin">
        <color theme="0" tint="-0.34998626667073579"/>
      </bottom>
      <diagonal/>
    </border>
    <border>
      <left style="medium">
        <color indexed="64"/>
      </left>
      <right/>
      <top style="thin">
        <color indexed="64"/>
      </top>
      <bottom style="thin">
        <color indexed="64"/>
      </bottom>
      <diagonal/>
    </border>
    <border>
      <left style="medium">
        <color indexed="64"/>
      </left>
      <right style="thin">
        <color theme="0" tint="-0.34998626667073579"/>
      </right>
      <top/>
      <bottom/>
      <diagonal/>
    </border>
    <border>
      <left/>
      <right/>
      <top style="medium">
        <color theme="0"/>
      </top>
      <bottom/>
      <diagonal/>
    </border>
    <border>
      <left style="medium">
        <color theme="0"/>
      </left>
      <right/>
      <top/>
      <bottom/>
      <diagonal/>
    </border>
    <border>
      <left style="hair">
        <color indexed="64"/>
      </left>
      <right style="hair">
        <color indexed="64"/>
      </right>
      <top style="hair">
        <color indexed="64"/>
      </top>
      <bottom style="hair">
        <color indexed="64"/>
      </bottom>
      <diagonal/>
    </border>
    <border>
      <left/>
      <right/>
      <top style="thin">
        <color theme="0" tint="-0.34998626667073579"/>
      </top>
      <bottom/>
      <diagonal/>
    </border>
    <border>
      <left style="hair">
        <color indexed="64"/>
      </left>
      <right style="hair">
        <color indexed="64"/>
      </right>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medium">
        <color theme="0"/>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theme="0"/>
      </bottom>
      <diagonal/>
    </border>
    <border>
      <left/>
      <right/>
      <top style="medium">
        <color indexed="64"/>
      </top>
      <bottom style="medium">
        <color theme="0"/>
      </bottom>
      <diagonal/>
    </border>
    <border>
      <left/>
      <right style="medium">
        <color indexed="64"/>
      </right>
      <top style="medium">
        <color indexed="64"/>
      </top>
      <bottom style="medium">
        <color theme="0"/>
      </bottom>
      <diagonal/>
    </border>
    <border>
      <left style="medium">
        <color indexed="64"/>
      </left>
      <right/>
      <top style="medium">
        <color theme="0"/>
      </top>
      <bottom style="medium">
        <color theme="0"/>
      </bottom>
      <diagonal/>
    </border>
    <border>
      <left style="medium">
        <color theme="0"/>
      </left>
      <right style="medium">
        <color indexed="64"/>
      </right>
      <top style="medium">
        <color theme="0"/>
      </top>
      <bottom style="medium">
        <color theme="0"/>
      </bottom>
      <diagonal/>
    </border>
    <border>
      <left style="medium">
        <color indexed="64"/>
      </left>
      <right style="medium">
        <color theme="0"/>
      </right>
      <top style="medium">
        <color theme="0"/>
      </top>
      <bottom style="medium">
        <color theme="0"/>
      </bottom>
      <diagonal/>
    </border>
    <border>
      <left style="medium">
        <color indexed="64"/>
      </left>
      <right/>
      <top style="medium">
        <color theme="0"/>
      </top>
      <bottom/>
      <diagonal/>
    </border>
    <border>
      <left/>
      <right style="medium">
        <color indexed="64"/>
      </right>
      <top style="medium">
        <color theme="0"/>
      </top>
      <bottom/>
      <diagonal/>
    </border>
    <border>
      <left style="medium">
        <color indexed="64"/>
      </left>
      <right/>
      <top style="medium">
        <color theme="0"/>
      </top>
      <bottom style="medium">
        <color indexed="64"/>
      </bottom>
      <diagonal/>
    </border>
    <border>
      <left/>
      <right style="medium">
        <color theme="0"/>
      </right>
      <top style="medium">
        <color theme="0"/>
      </top>
      <bottom style="medium">
        <color indexed="64"/>
      </bottom>
      <diagonal/>
    </border>
    <border>
      <left style="medium">
        <color theme="0"/>
      </left>
      <right style="medium">
        <color theme="0"/>
      </right>
      <top style="medium">
        <color theme="0"/>
      </top>
      <bottom style="medium">
        <color indexed="64"/>
      </bottom>
      <diagonal/>
    </border>
    <border>
      <left style="medium">
        <color theme="0"/>
      </left>
      <right/>
      <top/>
      <bottom style="medium">
        <color indexed="64"/>
      </bottom>
      <diagonal/>
    </border>
  </borders>
  <cellStyleXfs count="5">
    <xf numFmtId="0" fontId="0" fillId="0" borderId="0"/>
    <xf numFmtId="44" fontId="3" fillId="0" borderId="0" applyFont="0" applyFill="0" applyBorder="0" applyAlignment="0" applyProtection="0"/>
    <xf numFmtId="9" fontId="3" fillId="0" borderId="0" applyFont="0" applyFill="0" applyBorder="0" applyAlignment="0" applyProtection="0"/>
    <xf numFmtId="0" fontId="43" fillId="0" borderId="0" applyNumberFormat="0" applyFill="0" applyBorder="0" applyAlignment="0" applyProtection="0">
      <alignment vertical="top"/>
      <protection locked="0"/>
    </xf>
    <xf numFmtId="0" fontId="86" fillId="0" borderId="0"/>
  </cellStyleXfs>
  <cellXfs count="857">
    <xf numFmtId="0" fontId="0" fillId="0" borderId="0" xfId="0"/>
    <xf numFmtId="0" fontId="5" fillId="0" borderId="0" xfId="0" applyFont="1" applyAlignment="1" applyProtection="1">
      <alignment vertical="center"/>
      <protection hidden="1"/>
    </xf>
    <xf numFmtId="0" fontId="0" fillId="0" borderId="0" xfId="0" applyProtection="1">
      <protection hidden="1"/>
    </xf>
    <xf numFmtId="0" fontId="0" fillId="0" borderId="0" xfId="0" applyAlignment="1" applyProtection="1">
      <alignment wrapText="1"/>
      <protection hidden="1"/>
    </xf>
    <xf numFmtId="0" fontId="5" fillId="2" borderId="0"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2" borderId="0" xfId="0" applyFont="1" applyFill="1" applyBorder="1" applyAlignment="1" applyProtection="1">
      <alignment horizontal="center" vertical="center"/>
      <protection hidden="1"/>
    </xf>
    <xf numFmtId="14" fontId="2" fillId="0" borderId="0" xfId="0" applyNumberFormat="1" applyFont="1" applyAlignment="1" applyProtection="1">
      <alignment horizontal="center" vertical="center"/>
      <protection hidden="1"/>
    </xf>
    <xf numFmtId="0" fontId="1" fillId="0" borderId="0" xfId="0" applyFont="1" applyProtection="1">
      <protection hidden="1"/>
    </xf>
    <xf numFmtId="164" fontId="0" fillId="0" borderId="0" xfId="0" applyNumberFormat="1" applyProtection="1">
      <protection hidden="1"/>
    </xf>
    <xf numFmtId="0" fontId="0" fillId="0" borderId="0" xfId="0" applyAlignment="1" applyProtection="1">
      <alignment horizontal="left"/>
      <protection hidden="1"/>
    </xf>
    <xf numFmtId="0" fontId="0" fillId="0" borderId="0" xfId="0" applyBorder="1" applyProtection="1">
      <protection hidden="1"/>
    </xf>
    <xf numFmtId="2" fontId="0" fillId="0" borderId="0" xfId="0" applyNumberFormat="1" applyProtection="1">
      <protection hidden="1"/>
    </xf>
    <xf numFmtId="164" fontId="1" fillId="0" borderId="0" xfId="1" applyNumberFormat="1" applyFont="1" applyBorder="1" applyAlignment="1" applyProtection="1">
      <alignment vertical="center"/>
      <protection hidden="1"/>
    </xf>
    <xf numFmtId="164" fontId="4" fillId="0" borderId="0" xfId="1" applyNumberFormat="1" applyFont="1" applyBorder="1" applyAlignment="1" applyProtection="1">
      <alignment vertical="center"/>
      <protection hidden="1"/>
    </xf>
    <xf numFmtId="0" fontId="9" fillId="0" borderId="0" xfId="0" applyFont="1" applyBorder="1" applyAlignment="1" applyProtection="1">
      <alignment horizontal="right" vertical="center" wrapText="1"/>
      <protection hidden="1"/>
    </xf>
    <xf numFmtId="164" fontId="9" fillId="0" borderId="0" xfId="0" applyNumberFormat="1" applyFont="1" applyBorder="1" applyAlignment="1" applyProtection="1">
      <alignment horizontal="right" vertical="center"/>
      <protection hidden="1"/>
    </xf>
    <xf numFmtId="0" fontId="15" fillId="0" borderId="0" xfId="0" applyFont="1" applyBorder="1" applyAlignment="1" applyProtection="1">
      <alignment vertical="center" wrapText="1"/>
      <protection hidden="1"/>
    </xf>
    <xf numFmtId="2" fontId="0" fillId="7" borderId="15" xfId="0" applyNumberFormat="1" applyFill="1" applyBorder="1" applyAlignment="1" applyProtection="1">
      <alignment horizontal="center"/>
      <protection hidden="1"/>
    </xf>
    <xf numFmtId="0" fontId="10" fillId="0" borderId="0" xfId="0" applyFont="1" applyBorder="1" applyAlignment="1" applyProtection="1">
      <alignment horizontal="right" vertical="center"/>
      <protection hidden="1"/>
    </xf>
    <xf numFmtId="164" fontId="10" fillId="0" borderId="0" xfId="1" applyNumberFormat="1" applyFont="1" applyBorder="1" applyAlignment="1" applyProtection="1">
      <alignment vertical="center"/>
      <protection hidden="1"/>
    </xf>
    <xf numFmtId="164" fontId="9" fillId="0" borderId="0" xfId="1" applyNumberFormat="1" applyFont="1" applyBorder="1" applyAlignment="1" applyProtection="1">
      <alignment vertical="center"/>
      <protection hidden="1"/>
    </xf>
    <xf numFmtId="0" fontId="0" fillId="0" borderId="0" xfId="0" applyBorder="1" applyAlignment="1" applyProtection="1">
      <alignment horizontal="center"/>
      <protection hidden="1"/>
    </xf>
    <xf numFmtId="0" fontId="10" fillId="0" borderId="0" xfId="0" applyFont="1" applyBorder="1" applyAlignment="1" applyProtection="1">
      <protection hidden="1"/>
    </xf>
    <xf numFmtId="164" fontId="10" fillId="0" borderId="0" xfId="1" applyNumberFormat="1" applyFont="1" applyBorder="1" applyAlignment="1" applyProtection="1">
      <protection hidden="1"/>
    </xf>
    <xf numFmtId="0" fontId="9" fillId="0" borderId="0" xfId="0" applyFont="1" applyBorder="1" applyAlignment="1" applyProtection="1">
      <protection hidden="1"/>
    </xf>
    <xf numFmtId="1" fontId="0" fillId="0" borderId="0" xfId="0" applyNumberFormat="1" applyAlignment="1" applyProtection="1">
      <alignment horizontal="left"/>
      <protection hidden="1"/>
    </xf>
    <xf numFmtId="0" fontId="2" fillId="0" borderId="3" xfId="0" applyFont="1" applyBorder="1" applyAlignment="1" applyProtection="1">
      <alignment horizontal="left" vertical="center"/>
      <protection hidden="1"/>
    </xf>
    <xf numFmtId="0" fontId="27" fillId="0" borderId="0" xfId="0" applyFont="1" applyProtection="1">
      <protection hidden="1"/>
    </xf>
    <xf numFmtId="14" fontId="27" fillId="0" borderId="0" xfId="0" applyNumberFormat="1" applyFont="1" applyAlignment="1" applyProtection="1">
      <alignment horizontal="center" vertical="center"/>
      <protection hidden="1"/>
    </xf>
    <xf numFmtId="0" fontId="12" fillId="7" borderId="25" xfId="0" applyFont="1" applyFill="1" applyBorder="1" applyAlignment="1" applyProtection="1">
      <alignment horizontal="center" vertical="center" wrapText="1"/>
      <protection hidden="1"/>
    </xf>
    <xf numFmtId="44" fontId="32" fillId="5" borderId="25" xfId="1" applyFont="1" applyFill="1" applyBorder="1" applyAlignment="1" applyProtection="1">
      <alignment horizontal="right" vertical="center" wrapText="1"/>
      <protection hidden="1"/>
    </xf>
    <xf numFmtId="44" fontId="32" fillId="5" borderId="10" xfId="1" applyFont="1" applyFill="1" applyBorder="1" applyAlignment="1" applyProtection="1">
      <alignment horizontal="right" vertical="center" wrapText="1"/>
      <protection hidden="1"/>
    </xf>
    <xf numFmtId="44" fontId="32" fillId="6" borderId="25" xfId="1" applyFont="1" applyFill="1" applyBorder="1" applyAlignment="1" applyProtection="1">
      <alignment horizontal="right" vertical="center" wrapText="1"/>
      <protection hidden="1"/>
    </xf>
    <xf numFmtId="44" fontId="32" fillId="6" borderId="10" xfId="1" applyFont="1" applyFill="1" applyBorder="1" applyAlignment="1" applyProtection="1">
      <alignment horizontal="right" vertical="center" wrapText="1"/>
      <protection hidden="1"/>
    </xf>
    <xf numFmtId="44" fontId="32" fillId="4" borderId="25" xfId="1" applyFont="1" applyFill="1" applyBorder="1" applyAlignment="1" applyProtection="1">
      <alignment horizontal="right" vertical="center" wrapText="1"/>
      <protection hidden="1"/>
    </xf>
    <xf numFmtId="44" fontId="32" fillId="4" borderId="10" xfId="1" applyFont="1" applyFill="1" applyBorder="1" applyAlignment="1" applyProtection="1">
      <alignment horizontal="right" vertical="center" wrapText="1"/>
      <protection hidden="1"/>
    </xf>
    <xf numFmtId="44" fontId="0" fillId="0" borderId="0" xfId="0" applyNumberFormat="1" applyProtection="1">
      <protection hidden="1"/>
    </xf>
    <xf numFmtId="44" fontId="3" fillId="3" borderId="26" xfId="1" applyFont="1" applyFill="1" applyBorder="1" applyAlignment="1" applyProtection="1">
      <alignment horizontal="center" vertical="center"/>
      <protection locked="0"/>
    </xf>
    <xf numFmtId="0" fontId="0" fillId="0" borderId="0" xfId="0" applyAlignment="1" applyProtection="1">
      <alignment horizontal="center"/>
      <protection hidden="1"/>
    </xf>
    <xf numFmtId="14" fontId="0" fillId="0" borderId="0" xfId="0" applyNumberFormat="1" applyAlignment="1" applyProtection="1">
      <alignment horizontal="right"/>
      <protection hidden="1"/>
    </xf>
    <xf numFmtId="0" fontId="1" fillId="0" borderId="0" xfId="0" applyFont="1" applyAlignment="1" applyProtection="1">
      <alignment horizontal="center"/>
      <protection hidden="1"/>
    </xf>
    <xf numFmtId="44" fontId="39" fillId="0" borderId="0" xfId="1" applyFont="1" applyProtection="1">
      <protection hidden="1"/>
    </xf>
    <xf numFmtId="169" fontId="30" fillId="2" borderId="0" xfId="0" applyNumberFormat="1" applyFont="1" applyFill="1" applyBorder="1" applyAlignment="1" applyProtection="1">
      <alignment horizontal="center" vertical="center"/>
      <protection hidden="1"/>
    </xf>
    <xf numFmtId="14" fontId="42" fillId="2" borderId="0" xfId="0" applyNumberFormat="1" applyFont="1" applyFill="1" applyBorder="1" applyAlignment="1" applyProtection="1">
      <alignment horizontal="center" vertical="center"/>
      <protection hidden="1"/>
    </xf>
    <xf numFmtId="44" fontId="45" fillId="0" borderId="0" xfId="3" applyNumberFormat="1" applyFont="1" applyAlignment="1" applyProtection="1">
      <alignment horizontal="center" vertical="justify" wrapText="1"/>
      <protection hidden="1"/>
    </xf>
    <xf numFmtId="44" fontId="46" fillId="0" borderId="0" xfId="0" applyNumberFormat="1" applyFont="1" applyAlignment="1" applyProtection="1">
      <alignment horizontal="justify" vertical="center" wrapText="1"/>
      <protection hidden="1"/>
    </xf>
    <xf numFmtId="0" fontId="0" fillId="0" borderId="0" xfId="0" applyAlignment="1" applyProtection="1">
      <alignment horizontal="center" vertical="center" wrapText="1"/>
      <protection hidden="1"/>
    </xf>
    <xf numFmtId="166" fontId="20" fillId="3" borderId="32" xfId="0" applyNumberFormat="1" applyFont="1" applyFill="1" applyBorder="1" applyAlignment="1" applyProtection="1">
      <alignment horizontal="left" vertical="center"/>
      <protection hidden="1"/>
    </xf>
    <xf numFmtId="0" fontId="13" fillId="3" borderId="5" xfId="0" applyNumberFormat="1" applyFont="1" applyFill="1" applyBorder="1" applyAlignment="1" applyProtection="1">
      <alignment horizontal="center" vertical="center"/>
      <protection locked="0"/>
    </xf>
    <xf numFmtId="44" fontId="47" fillId="3" borderId="0" xfId="1" applyFont="1" applyFill="1" applyAlignment="1" applyProtection="1">
      <alignment horizontal="center" vertical="center"/>
      <protection hidden="1"/>
    </xf>
    <xf numFmtId="170" fontId="48" fillId="7" borderId="19" xfId="1" applyNumberFormat="1" applyFont="1" applyFill="1" applyBorder="1" applyAlignment="1" applyProtection="1">
      <alignment horizontal="left" vertical="center" wrapText="1"/>
      <protection hidden="1"/>
    </xf>
    <xf numFmtId="0" fontId="22" fillId="7" borderId="17" xfId="0" applyFont="1" applyFill="1" applyBorder="1" applyAlignment="1" applyProtection="1">
      <alignment horizontal="right"/>
      <protection hidden="1"/>
    </xf>
    <xf numFmtId="0" fontId="12" fillId="7" borderId="24" xfId="0" applyFont="1" applyFill="1" applyBorder="1" applyAlignment="1" applyProtection="1">
      <alignment horizontal="center" vertical="center" wrapText="1"/>
      <protection hidden="1"/>
    </xf>
    <xf numFmtId="0" fontId="13" fillId="3" borderId="5" xfId="0" applyFont="1" applyFill="1" applyBorder="1" applyAlignment="1" applyProtection="1">
      <alignment horizontal="center" vertical="center"/>
      <protection locked="0"/>
    </xf>
    <xf numFmtId="44" fontId="32" fillId="11" borderId="8" xfId="1" applyFont="1" applyFill="1" applyBorder="1" applyAlignment="1" applyProtection="1">
      <alignment horizontal="right" vertical="center" wrapText="1"/>
      <protection hidden="1"/>
    </xf>
    <xf numFmtId="44" fontId="32" fillId="12" borderId="8" xfId="1" applyFont="1" applyFill="1" applyBorder="1" applyAlignment="1" applyProtection="1">
      <alignment horizontal="right" vertical="center" wrapText="1"/>
      <protection hidden="1"/>
    </xf>
    <xf numFmtId="44" fontId="32" fillId="12" borderId="10" xfId="1" applyFont="1" applyFill="1" applyBorder="1" applyAlignment="1" applyProtection="1">
      <alignment horizontal="right" vertical="center" wrapText="1"/>
      <protection hidden="1"/>
    </xf>
    <xf numFmtId="0" fontId="21" fillId="7" borderId="17" xfId="0" applyFont="1" applyFill="1" applyBorder="1" applyAlignment="1" applyProtection="1">
      <alignment vertical="center"/>
      <protection hidden="1"/>
    </xf>
    <xf numFmtId="170" fontId="48" fillId="7" borderId="19" xfId="1" applyNumberFormat="1" applyFont="1" applyFill="1" applyBorder="1" applyAlignment="1" applyProtection="1">
      <alignment horizontal="left" vertical="center"/>
      <protection hidden="1"/>
    </xf>
    <xf numFmtId="171" fontId="48" fillId="7" borderId="19" xfId="0" applyNumberFormat="1" applyFont="1" applyFill="1" applyBorder="1" applyAlignment="1" applyProtection="1">
      <alignment horizontal="left" vertical="center"/>
      <protection hidden="1"/>
    </xf>
    <xf numFmtId="10" fontId="52" fillId="7" borderId="15" xfId="2" applyNumberFormat="1" applyFont="1" applyFill="1" applyBorder="1" applyAlignment="1" applyProtection="1">
      <alignment horizontal="center"/>
      <protection hidden="1"/>
    </xf>
    <xf numFmtId="44" fontId="3" fillId="0" borderId="23" xfId="1" applyFont="1" applyFill="1" applyBorder="1" applyProtection="1">
      <protection hidden="1"/>
    </xf>
    <xf numFmtId="44" fontId="38" fillId="0" borderId="0" xfId="1" applyFont="1" applyProtection="1">
      <protection hidden="1"/>
    </xf>
    <xf numFmtId="0" fontId="18" fillId="7" borderId="25" xfId="0" applyFont="1" applyFill="1" applyBorder="1" applyProtection="1">
      <protection hidden="1"/>
    </xf>
    <xf numFmtId="0" fontId="0" fillId="7" borderId="6" xfId="0" applyFill="1" applyBorder="1" applyProtection="1">
      <protection hidden="1"/>
    </xf>
    <xf numFmtId="0" fontId="0" fillId="7" borderId="11" xfId="0" applyFill="1" applyBorder="1" applyProtection="1">
      <protection hidden="1"/>
    </xf>
    <xf numFmtId="44" fontId="3" fillId="0" borderId="7" xfId="1" applyFont="1" applyFill="1" applyBorder="1" applyProtection="1">
      <protection hidden="1"/>
    </xf>
    <xf numFmtId="44" fontId="3" fillId="0" borderId="33" xfId="1" applyFont="1" applyFill="1" applyBorder="1" applyProtection="1">
      <protection hidden="1"/>
    </xf>
    <xf numFmtId="0" fontId="12" fillId="7" borderId="15" xfId="0" applyFont="1" applyFill="1" applyBorder="1" applyAlignment="1" applyProtection="1">
      <alignment horizontal="center" vertical="center" wrapText="1"/>
      <protection hidden="1"/>
    </xf>
    <xf numFmtId="0" fontId="34" fillId="0" borderId="26" xfId="0" applyFont="1" applyBorder="1" applyAlignment="1" applyProtection="1">
      <alignment horizontal="center" vertical="center" wrapText="1"/>
      <protection hidden="1"/>
    </xf>
    <xf numFmtId="0" fontId="54" fillId="0" borderId="5" xfId="0" applyFont="1" applyBorder="1" applyAlignment="1" applyProtection="1">
      <alignment horizontal="center"/>
      <protection hidden="1"/>
    </xf>
    <xf numFmtId="0" fontId="0" fillId="7" borderId="12" xfId="0" applyFill="1" applyBorder="1" applyProtection="1">
      <protection hidden="1"/>
    </xf>
    <xf numFmtId="0" fontId="34" fillId="0" borderId="16" xfId="0" applyFont="1" applyBorder="1" applyAlignment="1" applyProtection="1">
      <alignment horizontal="center" vertical="center" wrapText="1"/>
      <protection hidden="1"/>
    </xf>
    <xf numFmtId="44" fontId="18" fillId="7" borderId="6" xfId="1" applyFont="1" applyFill="1" applyBorder="1" applyProtection="1">
      <protection hidden="1"/>
    </xf>
    <xf numFmtId="0" fontId="53" fillId="0" borderId="17" xfId="0" applyFont="1" applyBorder="1" applyAlignment="1" applyProtection="1">
      <alignment horizontal="center" vertical="center" wrapText="1"/>
      <protection hidden="1"/>
    </xf>
    <xf numFmtId="44" fontId="18" fillId="3" borderId="8" xfId="1" applyFont="1" applyFill="1" applyBorder="1" applyProtection="1">
      <protection locked="0"/>
    </xf>
    <xf numFmtId="44" fontId="18" fillId="3" borderId="17" xfId="1" applyFont="1" applyFill="1" applyBorder="1" applyAlignment="1" applyProtection="1">
      <alignment horizontal="justify" vertical="center" wrapText="1"/>
      <protection locked="0"/>
    </xf>
    <xf numFmtId="0" fontId="53" fillId="0" borderId="15" xfId="0" applyFont="1" applyBorder="1" applyAlignment="1" applyProtection="1">
      <alignment horizontal="center" vertical="center" wrapText="1"/>
      <protection hidden="1"/>
    </xf>
    <xf numFmtId="44" fontId="18" fillId="3" borderId="37" xfId="1" applyFont="1" applyFill="1" applyBorder="1" applyProtection="1">
      <protection locked="0"/>
    </xf>
    <xf numFmtId="44" fontId="18" fillId="3" borderId="15" xfId="1" applyFont="1" applyFill="1" applyBorder="1" applyProtection="1">
      <protection locked="0"/>
    </xf>
    <xf numFmtId="2" fontId="18" fillId="3" borderId="38" xfId="0" applyNumberFormat="1" applyFont="1" applyFill="1" applyBorder="1" applyAlignment="1" applyProtection="1">
      <alignment horizontal="center" vertical="center"/>
      <protection hidden="1"/>
    </xf>
    <xf numFmtId="44" fontId="3" fillId="3" borderId="6" xfId="1" applyFont="1" applyFill="1" applyBorder="1" applyProtection="1">
      <protection locked="0"/>
    </xf>
    <xf numFmtId="44" fontId="3" fillId="3" borderId="24" xfId="1" applyFont="1" applyFill="1" applyBorder="1" applyProtection="1">
      <protection locked="0"/>
    </xf>
    <xf numFmtId="44" fontId="3" fillId="3" borderId="7" xfId="1" applyFont="1" applyFill="1" applyBorder="1" applyProtection="1">
      <protection locked="0"/>
    </xf>
    <xf numFmtId="44" fontId="3" fillId="3" borderId="23" xfId="1" applyFont="1" applyFill="1" applyBorder="1" applyProtection="1">
      <protection locked="0"/>
    </xf>
    <xf numFmtId="44" fontId="3" fillId="3" borderId="16" xfId="1" applyFont="1" applyFill="1" applyBorder="1" applyAlignment="1" applyProtection="1">
      <alignment horizontal="center"/>
      <protection locked="0"/>
    </xf>
    <xf numFmtId="44" fontId="18" fillId="3" borderId="18" xfId="1" applyFont="1" applyFill="1" applyBorder="1" applyProtection="1">
      <protection locked="0"/>
    </xf>
    <xf numFmtId="44" fontId="18" fillId="3" borderId="25" xfId="1" applyFont="1" applyFill="1" applyBorder="1" applyProtection="1">
      <protection locked="0"/>
    </xf>
    <xf numFmtId="44" fontId="18" fillId="3" borderId="18" xfId="1" applyFont="1" applyFill="1" applyBorder="1" applyProtection="1">
      <protection hidden="1"/>
    </xf>
    <xf numFmtId="164" fontId="18" fillId="0" borderId="20" xfId="1" applyNumberFormat="1" applyFont="1" applyBorder="1" applyAlignment="1" applyProtection="1">
      <alignment horizontal="center" vertical="center"/>
      <protection hidden="1"/>
    </xf>
    <xf numFmtId="164" fontId="18" fillId="0" borderId="29" xfId="1" applyNumberFormat="1" applyFont="1" applyBorder="1" applyAlignment="1" applyProtection="1">
      <alignment vertical="center"/>
      <protection hidden="1"/>
    </xf>
    <xf numFmtId="164" fontId="18" fillId="0" borderId="30" xfId="1" applyNumberFormat="1" applyFont="1" applyBorder="1" applyAlignment="1" applyProtection="1">
      <alignment vertical="center"/>
      <protection hidden="1"/>
    </xf>
    <xf numFmtId="164" fontId="18" fillId="0" borderId="36" xfId="1" applyNumberFormat="1" applyFont="1" applyBorder="1" applyAlignment="1" applyProtection="1">
      <alignment vertical="center"/>
      <protection hidden="1"/>
    </xf>
    <xf numFmtId="164" fontId="18" fillId="0" borderId="38" xfId="1" applyNumberFormat="1" applyFont="1" applyBorder="1" applyAlignment="1" applyProtection="1">
      <alignment horizontal="center" vertical="center"/>
      <protection hidden="1"/>
    </xf>
    <xf numFmtId="164" fontId="18" fillId="0" borderId="13" xfId="1" applyNumberFormat="1" applyFont="1" applyBorder="1" applyAlignment="1" applyProtection="1">
      <alignment horizontal="center" vertical="center"/>
      <protection hidden="1"/>
    </xf>
    <xf numFmtId="164" fontId="18" fillId="0" borderId="32" xfId="1" applyNumberFormat="1" applyFont="1" applyBorder="1" applyAlignment="1" applyProtection="1">
      <alignment horizontal="center" vertical="center"/>
      <protection hidden="1"/>
    </xf>
    <xf numFmtId="164" fontId="18" fillId="3" borderId="22" xfId="1" applyNumberFormat="1" applyFont="1" applyFill="1" applyBorder="1" applyAlignment="1" applyProtection="1">
      <alignment vertical="center"/>
      <protection hidden="1"/>
    </xf>
    <xf numFmtId="164" fontId="3" fillId="0" borderId="38" xfId="1" applyNumberFormat="1" applyFont="1" applyFill="1" applyBorder="1" applyAlignment="1" applyProtection="1">
      <alignment horizontal="center" vertical="center"/>
      <protection locked="0"/>
    </xf>
    <xf numFmtId="164" fontId="3" fillId="0" borderId="32" xfId="1" applyNumberFormat="1" applyFont="1" applyFill="1" applyBorder="1" applyAlignment="1" applyProtection="1">
      <alignment horizontal="center" vertical="center"/>
      <protection locked="0"/>
    </xf>
    <xf numFmtId="164" fontId="3" fillId="0" borderId="22" xfId="1" applyNumberFormat="1" applyFont="1" applyFill="1" applyBorder="1" applyAlignment="1" applyProtection="1">
      <alignment horizontal="center" vertical="center"/>
      <protection locked="0"/>
    </xf>
    <xf numFmtId="164" fontId="18" fillId="3" borderId="39" xfId="1" applyNumberFormat="1" applyFont="1" applyFill="1" applyBorder="1" applyAlignment="1" applyProtection="1">
      <alignment horizontal="center" vertical="center"/>
      <protection hidden="1"/>
    </xf>
    <xf numFmtId="164" fontId="18" fillId="3" borderId="40" xfId="1" applyNumberFormat="1" applyFont="1" applyFill="1" applyBorder="1" applyAlignment="1" applyProtection="1">
      <alignment horizontal="center" vertical="center"/>
      <protection hidden="1"/>
    </xf>
    <xf numFmtId="164" fontId="18" fillId="0" borderId="21" xfId="1" applyNumberFormat="1" applyFont="1" applyBorder="1" applyAlignment="1" applyProtection="1">
      <alignment horizontal="center" vertical="center"/>
      <protection hidden="1"/>
    </xf>
    <xf numFmtId="164" fontId="18" fillId="0" borderId="41" xfId="1" applyNumberFormat="1" applyFont="1" applyBorder="1" applyAlignment="1" applyProtection="1">
      <alignment horizontal="center" vertical="center"/>
      <protection hidden="1"/>
    </xf>
    <xf numFmtId="164" fontId="23" fillId="7" borderId="20" xfId="0" applyNumberFormat="1" applyFont="1" applyFill="1" applyBorder="1" applyProtection="1">
      <protection hidden="1"/>
    </xf>
    <xf numFmtId="164" fontId="8" fillId="7" borderId="21" xfId="0" applyNumberFormat="1" applyFont="1" applyFill="1" applyBorder="1" applyProtection="1">
      <protection hidden="1"/>
    </xf>
    <xf numFmtId="164" fontId="35" fillId="7" borderId="15" xfId="0" applyNumberFormat="1" applyFont="1" applyFill="1" applyBorder="1" applyProtection="1">
      <protection hidden="1"/>
    </xf>
    <xf numFmtId="164" fontId="35" fillId="7" borderId="15" xfId="1" applyNumberFormat="1" applyFont="1" applyFill="1" applyBorder="1" applyAlignment="1" applyProtection="1">
      <alignment horizontal="center"/>
      <protection hidden="1"/>
    </xf>
    <xf numFmtId="164" fontId="36" fillId="7" borderId="15" xfId="0" applyNumberFormat="1" applyFont="1" applyFill="1" applyBorder="1" applyAlignment="1" applyProtection="1">
      <alignment vertical="center"/>
      <protection hidden="1"/>
    </xf>
    <xf numFmtId="164" fontId="27" fillId="7" borderId="15" xfId="1" applyNumberFormat="1" applyFont="1" applyFill="1" applyBorder="1" applyAlignment="1" applyProtection="1">
      <alignment horizontal="center"/>
      <protection hidden="1"/>
    </xf>
    <xf numFmtId="164" fontId="24" fillId="7" borderId="15" xfId="1" applyNumberFormat="1" applyFont="1" applyFill="1" applyBorder="1" applyAlignment="1" applyProtection="1">
      <alignment horizontal="center"/>
      <protection locked="0"/>
    </xf>
    <xf numFmtId="164" fontId="18" fillId="3" borderId="38" xfId="1" applyNumberFormat="1" applyFont="1" applyFill="1" applyBorder="1" applyAlignment="1" applyProtection="1">
      <alignment vertical="center"/>
      <protection hidden="1"/>
    </xf>
    <xf numFmtId="164" fontId="18" fillId="3" borderId="13" xfId="1" applyNumberFormat="1" applyFont="1" applyFill="1" applyBorder="1" applyAlignment="1" applyProtection="1">
      <alignment vertical="center"/>
      <protection hidden="1"/>
    </xf>
    <xf numFmtId="164" fontId="3" fillId="0" borderId="38" xfId="1" applyNumberFormat="1" applyFont="1" applyFill="1" applyBorder="1" applyAlignment="1" applyProtection="1">
      <alignment horizontal="center" vertical="center"/>
      <protection hidden="1"/>
    </xf>
    <xf numFmtId="164" fontId="24" fillId="7" borderId="15" xfId="1" applyNumberFormat="1" applyFont="1" applyFill="1" applyBorder="1" applyAlignment="1" applyProtection="1">
      <alignment horizontal="center"/>
      <protection hidden="1"/>
    </xf>
    <xf numFmtId="2" fontId="0" fillId="0" borderId="0" xfId="0" applyNumberFormat="1" applyAlignment="1" applyProtection="1">
      <alignment wrapText="1"/>
      <protection hidden="1"/>
    </xf>
    <xf numFmtId="0" fontId="21" fillId="7" borderId="17" xfId="0" applyFont="1" applyFill="1" applyBorder="1" applyAlignment="1" applyProtection="1">
      <alignment horizontal="right" vertical="center"/>
      <protection hidden="1"/>
    </xf>
    <xf numFmtId="0" fontId="31" fillId="3" borderId="0" xfId="0" applyFont="1" applyFill="1" applyAlignment="1" applyProtection="1">
      <alignment horizontal="center" wrapText="1"/>
      <protection hidden="1"/>
    </xf>
    <xf numFmtId="164" fontId="18" fillId="3" borderId="5" xfId="1" applyNumberFormat="1" applyFont="1" applyFill="1" applyBorder="1" applyAlignment="1" applyProtection="1">
      <alignment vertical="center"/>
      <protection hidden="1"/>
    </xf>
    <xf numFmtId="164" fontId="18" fillId="0" borderId="20" xfId="1" applyNumberFormat="1" applyFont="1" applyBorder="1" applyAlignment="1" applyProtection="1">
      <alignment vertical="center"/>
      <protection hidden="1"/>
    </xf>
    <xf numFmtId="0" fontId="56" fillId="0" borderId="0" xfId="0" applyFont="1" applyProtection="1">
      <protection hidden="1"/>
    </xf>
    <xf numFmtId="0" fontId="57" fillId="0" borderId="0" xfId="3" applyFont="1" applyAlignment="1" applyProtection="1">
      <protection hidden="1"/>
    </xf>
    <xf numFmtId="0" fontId="1" fillId="2" borderId="42" xfId="0" applyFont="1" applyFill="1" applyBorder="1" applyAlignment="1" applyProtection="1">
      <alignment horizontal="center"/>
      <protection hidden="1"/>
    </xf>
    <xf numFmtId="0" fontId="1" fillId="0" borderId="48" xfId="0" applyFont="1" applyBorder="1" applyAlignment="1" applyProtection="1">
      <alignment horizontal="center" vertical="center" wrapText="1"/>
      <protection hidden="1"/>
    </xf>
    <xf numFmtId="17" fontId="4" fillId="0" borderId="50" xfId="0" applyNumberFormat="1" applyFont="1" applyBorder="1" applyProtection="1">
      <protection hidden="1"/>
    </xf>
    <xf numFmtId="17" fontId="4" fillId="0" borderId="51" xfId="0" applyNumberFormat="1" applyFont="1" applyBorder="1" applyProtection="1">
      <protection hidden="1"/>
    </xf>
    <xf numFmtId="17" fontId="4" fillId="0" borderId="48" xfId="0" applyNumberFormat="1" applyFont="1" applyBorder="1" applyProtection="1">
      <protection hidden="1"/>
    </xf>
    <xf numFmtId="17" fontId="4" fillId="0" borderId="52" xfId="0" applyNumberFormat="1" applyFont="1" applyBorder="1" applyProtection="1">
      <protection hidden="1"/>
    </xf>
    <xf numFmtId="0" fontId="0" fillId="7" borderId="52" xfId="0" applyFill="1" applyBorder="1" applyProtection="1">
      <protection hidden="1"/>
    </xf>
    <xf numFmtId="0" fontId="1" fillId="0" borderId="53" xfId="0" applyFont="1" applyBorder="1" applyAlignment="1" applyProtection="1">
      <alignment horizontal="center" vertical="center" wrapText="1"/>
      <protection hidden="1"/>
    </xf>
    <xf numFmtId="0" fontId="43" fillId="0" borderId="54" xfId="3" applyBorder="1" applyAlignment="1" applyProtection="1">
      <alignment horizontal="center" vertical="center" wrapText="1"/>
      <protection hidden="1"/>
    </xf>
    <xf numFmtId="0" fontId="1" fillId="0" borderId="54" xfId="0" applyFont="1" applyBorder="1" applyAlignment="1" applyProtection="1">
      <alignment horizontal="center" vertical="center" wrapText="1"/>
      <protection hidden="1"/>
    </xf>
    <xf numFmtId="0" fontId="51" fillId="0" borderId="54" xfId="0" applyFont="1" applyBorder="1" applyAlignment="1" applyProtection="1">
      <alignment horizontal="center" vertical="center" wrapText="1"/>
      <protection hidden="1"/>
    </xf>
    <xf numFmtId="0" fontId="1" fillId="0" borderId="55" xfId="0" applyFont="1" applyBorder="1" applyAlignment="1" applyProtection="1">
      <alignment horizontal="center" vertical="center" wrapText="1"/>
      <protection hidden="1"/>
    </xf>
    <xf numFmtId="0" fontId="1" fillId="0" borderId="56" xfId="0" applyFont="1" applyBorder="1" applyAlignment="1" applyProtection="1">
      <alignment horizontal="center" vertical="center" wrapText="1"/>
      <protection hidden="1"/>
    </xf>
    <xf numFmtId="0" fontId="11" fillId="7" borderId="52" xfId="0" applyFont="1" applyFill="1" applyBorder="1" applyProtection="1">
      <protection hidden="1"/>
    </xf>
    <xf numFmtId="0" fontId="0" fillId="7" borderId="58" xfId="0" applyFill="1" applyBorder="1" applyProtection="1">
      <protection hidden="1"/>
    </xf>
    <xf numFmtId="0" fontId="21" fillId="7" borderId="63" xfId="0" applyFont="1" applyFill="1" applyBorder="1" applyAlignment="1" applyProtection="1">
      <alignment vertical="center"/>
      <protection hidden="1"/>
    </xf>
    <xf numFmtId="0" fontId="6" fillId="7" borderId="63" xfId="0" applyFont="1" applyFill="1" applyBorder="1" applyAlignment="1" applyProtection="1">
      <alignment vertical="center" wrapText="1"/>
      <protection hidden="1"/>
    </xf>
    <xf numFmtId="0" fontId="21" fillId="7" borderId="63" xfId="0" applyFont="1" applyFill="1" applyBorder="1" applyAlignment="1" applyProtection="1">
      <alignment horizontal="right" vertical="center"/>
      <protection hidden="1"/>
    </xf>
    <xf numFmtId="0" fontId="1" fillId="8" borderId="70" xfId="0" applyFont="1" applyFill="1" applyBorder="1" applyAlignment="1" applyProtection="1">
      <alignment horizontal="center" vertical="center"/>
      <protection locked="0"/>
    </xf>
    <xf numFmtId="0" fontId="1" fillId="3" borderId="72" xfId="0" applyFont="1" applyFill="1" applyBorder="1" applyAlignment="1" applyProtection="1">
      <alignment horizontal="center" vertical="center"/>
      <protection hidden="1"/>
    </xf>
    <xf numFmtId="0" fontId="16" fillId="2" borderId="62" xfId="0" applyFont="1" applyFill="1" applyBorder="1" applyAlignment="1" applyProtection="1">
      <alignment horizontal="center" vertical="center"/>
      <protection hidden="1"/>
    </xf>
    <xf numFmtId="0" fontId="5" fillId="2" borderId="49" xfId="0" applyFont="1" applyFill="1" applyBorder="1" applyAlignment="1" applyProtection="1">
      <alignment horizontal="center" vertical="center"/>
      <protection hidden="1"/>
    </xf>
    <xf numFmtId="0" fontId="2" fillId="2" borderId="49" xfId="0" applyFont="1" applyFill="1" applyBorder="1" applyAlignment="1" applyProtection="1">
      <alignment horizontal="center" vertical="center"/>
      <protection hidden="1"/>
    </xf>
    <xf numFmtId="0" fontId="1" fillId="2" borderId="62" xfId="0" applyFont="1" applyFill="1" applyBorder="1" applyProtection="1">
      <protection hidden="1"/>
    </xf>
    <xf numFmtId="0" fontId="2" fillId="0" borderId="73" xfId="0" applyFont="1" applyBorder="1" applyAlignment="1" applyProtection="1">
      <alignment horizontal="left" vertical="center"/>
      <protection hidden="1"/>
    </xf>
    <xf numFmtId="0" fontId="34" fillId="0" borderId="76" xfId="0" applyFont="1" applyBorder="1" applyAlignment="1" applyProtection="1">
      <alignment horizontal="left" vertical="center"/>
      <protection hidden="1"/>
    </xf>
    <xf numFmtId="14" fontId="13" fillId="0" borderId="77" xfId="0" applyNumberFormat="1" applyFont="1" applyFill="1" applyBorder="1" applyAlignment="1" applyProtection="1">
      <alignment horizontal="center" vertical="center"/>
      <protection locked="0"/>
    </xf>
    <xf numFmtId="167" fontId="0" fillId="0" borderId="78" xfId="0" applyNumberFormat="1" applyBorder="1" applyAlignment="1" applyProtection="1">
      <alignment horizontal="center"/>
      <protection hidden="1"/>
    </xf>
    <xf numFmtId="0" fontId="2" fillId="0" borderId="79" xfId="0" applyFont="1" applyBorder="1" applyAlignment="1" applyProtection="1">
      <alignment horizontal="left" vertical="center"/>
      <protection hidden="1"/>
    </xf>
    <xf numFmtId="0" fontId="2" fillId="0" borderId="81" xfId="0" applyFont="1" applyBorder="1" applyAlignment="1" applyProtection="1">
      <alignment horizontal="left" vertical="center"/>
      <protection hidden="1"/>
    </xf>
    <xf numFmtId="0" fontId="0" fillId="0" borderId="85" xfId="0" applyBorder="1" applyAlignment="1" applyProtection="1">
      <alignment horizontal="center"/>
      <protection locked="0"/>
    </xf>
    <xf numFmtId="0" fontId="1" fillId="0" borderId="87" xfId="0" applyFont="1" applyBorder="1" applyProtection="1">
      <protection hidden="1"/>
    </xf>
    <xf numFmtId="0" fontId="1" fillId="0" borderId="88" xfId="0" applyFont="1" applyBorder="1" applyProtection="1">
      <protection hidden="1"/>
    </xf>
    <xf numFmtId="0" fontId="13" fillId="3" borderId="93" xfId="0" applyNumberFormat="1" applyFont="1" applyFill="1" applyBorder="1" applyAlignment="1" applyProtection="1">
      <alignment horizontal="center" vertical="center"/>
      <protection locked="0"/>
    </xf>
    <xf numFmtId="0" fontId="4" fillId="0" borderId="87" xfId="0" applyFont="1" applyBorder="1" applyAlignment="1" applyProtection="1">
      <alignment horizontal="right"/>
      <protection hidden="1"/>
    </xf>
    <xf numFmtId="0" fontId="2" fillId="3" borderId="94" xfId="0" applyFont="1" applyFill="1" applyBorder="1" applyAlignment="1" applyProtection="1">
      <alignment horizontal="center" vertical="center"/>
      <protection hidden="1"/>
    </xf>
    <xf numFmtId="166" fontId="36" fillId="3" borderId="95" xfId="0" applyNumberFormat="1" applyFont="1" applyFill="1" applyBorder="1" applyAlignment="1" applyProtection="1">
      <alignment horizontal="center" vertical="center"/>
      <protection hidden="1"/>
    </xf>
    <xf numFmtId="0" fontId="1" fillId="2" borderId="96" xfId="0" applyFont="1" applyFill="1" applyBorder="1" applyAlignment="1" applyProtection="1">
      <alignment horizontal="center"/>
      <protection hidden="1"/>
    </xf>
    <xf numFmtId="0" fontId="1" fillId="0" borderId="101" xfId="0" applyFont="1" applyBorder="1" applyAlignment="1" applyProtection="1">
      <alignment horizontal="center" vertical="center" wrapText="1"/>
      <protection hidden="1"/>
    </xf>
    <xf numFmtId="0" fontId="34" fillId="0" borderId="102" xfId="0" applyFont="1" applyBorder="1" applyAlignment="1" applyProtection="1">
      <alignment horizontal="center" vertical="center" wrapText="1"/>
      <protection hidden="1"/>
    </xf>
    <xf numFmtId="17" fontId="4" fillId="0" borderId="103" xfId="0" applyNumberFormat="1" applyFont="1" applyBorder="1" applyProtection="1">
      <protection hidden="1"/>
    </xf>
    <xf numFmtId="44" fontId="3" fillId="0" borderId="104" xfId="1" applyFont="1" applyFill="1" applyBorder="1" applyProtection="1">
      <protection hidden="1"/>
    </xf>
    <xf numFmtId="17" fontId="4" fillId="0" borderId="105" xfId="0" applyNumberFormat="1" applyFont="1" applyBorder="1" applyProtection="1">
      <protection hidden="1"/>
    </xf>
    <xf numFmtId="44" fontId="3" fillId="0" borderId="80" xfId="1" applyFont="1" applyFill="1" applyBorder="1" applyProtection="1">
      <protection hidden="1"/>
    </xf>
    <xf numFmtId="17" fontId="4" fillId="0" borderId="101" xfId="0" applyNumberFormat="1" applyFont="1" applyBorder="1" applyProtection="1">
      <protection hidden="1"/>
    </xf>
    <xf numFmtId="44" fontId="3" fillId="0" borderId="102" xfId="1" applyFont="1" applyFill="1" applyBorder="1" applyProtection="1">
      <protection hidden="1"/>
    </xf>
    <xf numFmtId="17" fontId="4" fillId="0" borderId="106" xfId="0" applyNumberFormat="1" applyFont="1" applyBorder="1" applyProtection="1">
      <protection hidden="1"/>
    </xf>
    <xf numFmtId="0" fontId="0" fillId="7" borderId="106" xfId="0" applyFill="1" applyBorder="1" applyProtection="1">
      <protection hidden="1"/>
    </xf>
    <xf numFmtId="0" fontId="18" fillId="7" borderId="104" xfId="0" applyFont="1" applyFill="1" applyBorder="1" applyProtection="1">
      <protection hidden="1"/>
    </xf>
    <xf numFmtId="0" fontId="1" fillId="0" borderId="107" xfId="0" applyFont="1" applyBorder="1" applyAlignment="1" applyProtection="1">
      <alignment horizontal="center" vertical="center" wrapText="1"/>
      <protection hidden="1"/>
    </xf>
    <xf numFmtId="0" fontId="1" fillId="0" borderId="108" xfId="0" applyFont="1" applyBorder="1" applyAlignment="1" applyProtection="1">
      <alignment horizontal="center" vertical="center" wrapText="1"/>
      <protection hidden="1"/>
    </xf>
    <xf numFmtId="0" fontId="51" fillId="0" borderId="108" xfId="0" applyFont="1" applyBorder="1" applyAlignment="1" applyProtection="1">
      <alignment horizontal="center" vertical="center" wrapText="1"/>
      <protection hidden="1"/>
    </xf>
    <xf numFmtId="164" fontId="18" fillId="3" borderId="109" xfId="1" applyNumberFormat="1" applyFont="1" applyFill="1" applyBorder="1" applyAlignment="1" applyProtection="1">
      <alignment vertical="center"/>
      <protection hidden="1"/>
    </xf>
    <xf numFmtId="2" fontId="18" fillId="3" borderId="95" xfId="0" applyNumberFormat="1" applyFont="1" applyFill="1" applyBorder="1" applyAlignment="1" applyProtection="1">
      <alignment horizontal="center" vertical="center"/>
      <protection hidden="1"/>
    </xf>
    <xf numFmtId="0" fontId="1" fillId="0" borderId="110" xfId="0" applyFont="1" applyBorder="1" applyAlignment="1" applyProtection="1">
      <alignment horizontal="center" vertical="center" wrapText="1"/>
      <protection hidden="1"/>
    </xf>
    <xf numFmtId="164" fontId="18" fillId="3" borderId="111" xfId="1" applyNumberFormat="1" applyFont="1" applyFill="1" applyBorder="1" applyAlignment="1" applyProtection="1">
      <alignment horizontal="center" vertical="center"/>
      <protection hidden="1"/>
    </xf>
    <xf numFmtId="0" fontId="1" fillId="0" borderId="112" xfId="0" applyFont="1" applyBorder="1" applyAlignment="1" applyProtection="1">
      <alignment horizontal="center" vertical="center" wrapText="1"/>
      <protection hidden="1"/>
    </xf>
    <xf numFmtId="164" fontId="18" fillId="0" borderId="113" xfId="1" applyNumberFormat="1" applyFont="1" applyBorder="1" applyAlignment="1" applyProtection="1">
      <alignment horizontal="center" vertical="center"/>
      <protection hidden="1"/>
    </xf>
    <xf numFmtId="0" fontId="11" fillId="7" borderId="106" xfId="0" applyFont="1" applyFill="1" applyBorder="1" applyProtection="1">
      <protection hidden="1"/>
    </xf>
    <xf numFmtId="0" fontId="0" fillId="7" borderId="104" xfId="0" applyFill="1" applyBorder="1" applyProtection="1">
      <protection hidden="1"/>
    </xf>
    <xf numFmtId="0" fontId="0" fillId="7" borderId="114" xfId="0" applyFill="1" applyBorder="1" applyProtection="1">
      <protection hidden="1"/>
    </xf>
    <xf numFmtId="0" fontId="12" fillId="7" borderId="106" xfId="0" applyFont="1" applyFill="1" applyBorder="1" applyAlignment="1" applyProtection="1">
      <alignment horizontal="center" vertical="center" wrapText="1"/>
      <protection hidden="1"/>
    </xf>
    <xf numFmtId="0" fontId="12" fillId="7" borderId="116" xfId="0" applyFont="1" applyFill="1" applyBorder="1" applyAlignment="1" applyProtection="1">
      <alignment horizontal="center" vertical="center" wrapText="1"/>
      <protection hidden="1"/>
    </xf>
    <xf numFmtId="44" fontId="6" fillId="5" borderId="106" xfId="1" applyFont="1" applyFill="1" applyBorder="1" applyAlignment="1" applyProtection="1">
      <alignment horizontal="center" vertical="center" wrapText="1"/>
      <protection hidden="1"/>
    </xf>
    <xf numFmtId="164" fontId="23" fillId="7" borderId="117" xfId="0" applyNumberFormat="1" applyFont="1" applyFill="1" applyBorder="1" applyProtection="1">
      <protection hidden="1"/>
    </xf>
    <xf numFmtId="44" fontId="6" fillId="5" borderId="114" xfId="1" applyFont="1" applyFill="1" applyBorder="1" applyAlignment="1" applyProtection="1">
      <alignment horizontal="center" vertical="center" wrapText="1"/>
      <protection hidden="1"/>
    </xf>
    <xf numFmtId="164" fontId="8" fillId="7" borderId="118" xfId="0" applyNumberFormat="1" applyFont="1" applyFill="1" applyBorder="1" applyProtection="1">
      <protection hidden="1"/>
    </xf>
    <xf numFmtId="44" fontId="6" fillId="4" borderId="106" xfId="1" applyFont="1" applyFill="1" applyBorder="1" applyAlignment="1" applyProtection="1">
      <alignment horizontal="center" vertical="center" wrapText="1"/>
      <protection hidden="1"/>
    </xf>
    <xf numFmtId="44" fontId="6" fillId="4" borderId="114" xfId="1" applyFont="1" applyFill="1" applyBorder="1" applyAlignment="1" applyProtection="1">
      <alignment horizontal="center" vertical="center" wrapText="1"/>
      <protection hidden="1"/>
    </xf>
    <xf numFmtId="44" fontId="6" fillId="11" borderId="79" xfId="1" applyFont="1" applyFill="1" applyBorder="1" applyAlignment="1" applyProtection="1">
      <alignment horizontal="center" vertical="center" wrapText="1"/>
      <protection hidden="1"/>
    </xf>
    <xf numFmtId="164" fontId="23" fillId="7" borderId="119" xfId="0" applyNumberFormat="1" applyFont="1" applyFill="1" applyBorder="1" applyProtection="1">
      <protection hidden="1"/>
    </xf>
    <xf numFmtId="44" fontId="6" fillId="6" borderId="106" xfId="1" applyFont="1" applyFill="1" applyBorder="1" applyAlignment="1" applyProtection="1">
      <alignment horizontal="center" vertical="center" wrapText="1"/>
      <protection hidden="1"/>
    </xf>
    <xf numFmtId="44" fontId="6" fillId="6" borderId="114" xfId="1" applyFont="1" applyFill="1" applyBorder="1" applyAlignment="1" applyProtection="1">
      <alignment horizontal="center" vertical="center" wrapText="1"/>
      <protection hidden="1"/>
    </xf>
    <xf numFmtId="44" fontId="6" fillId="12" borderId="79" xfId="1" applyFont="1" applyFill="1" applyBorder="1" applyAlignment="1" applyProtection="1">
      <alignment horizontal="center" vertical="center" wrapText="1"/>
      <protection hidden="1"/>
    </xf>
    <xf numFmtId="44" fontId="6" fillId="12" borderId="114" xfId="1" applyFont="1" applyFill="1" applyBorder="1" applyAlignment="1" applyProtection="1">
      <alignment horizontal="center" vertical="center" wrapText="1"/>
      <protection hidden="1"/>
    </xf>
    <xf numFmtId="164" fontId="35" fillId="7" borderId="121" xfId="0" applyNumberFormat="1" applyFont="1" applyFill="1" applyBorder="1" applyProtection="1">
      <protection hidden="1"/>
    </xf>
    <xf numFmtId="0" fontId="21" fillId="7" borderId="120" xfId="0" applyFont="1" applyFill="1" applyBorder="1" applyAlignment="1" applyProtection="1">
      <alignment vertical="center"/>
      <protection hidden="1"/>
    </xf>
    <xf numFmtId="2" fontId="0" fillId="7" borderId="121" xfId="0" applyNumberFormat="1" applyFill="1" applyBorder="1" applyAlignment="1" applyProtection="1">
      <alignment horizontal="center"/>
      <protection hidden="1"/>
    </xf>
    <xf numFmtId="164" fontId="35" fillId="7" borderId="121" xfId="1" applyNumberFormat="1" applyFont="1" applyFill="1" applyBorder="1" applyAlignment="1" applyProtection="1">
      <alignment horizontal="center"/>
      <protection hidden="1"/>
    </xf>
    <xf numFmtId="0" fontId="6" fillId="7" borderId="120" xfId="0" applyFont="1" applyFill="1" applyBorder="1" applyAlignment="1" applyProtection="1">
      <alignment vertical="center" wrapText="1"/>
      <protection hidden="1"/>
    </xf>
    <xf numFmtId="164" fontId="36" fillId="7" borderId="121" xfId="0" applyNumberFormat="1" applyFont="1" applyFill="1" applyBorder="1" applyAlignment="1" applyProtection="1">
      <alignment vertical="center"/>
      <protection hidden="1"/>
    </xf>
    <xf numFmtId="164" fontId="27" fillId="7" borderId="121" xfId="1" applyNumberFormat="1" applyFont="1" applyFill="1" applyBorder="1" applyAlignment="1" applyProtection="1">
      <alignment horizontal="center"/>
      <protection hidden="1"/>
    </xf>
    <xf numFmtId="164" fontId="24" fillId="7" borderId="121" xfId="1" applyNumberFormat="1" applyFont="1" applyFill="1" applyBorder="1" applyAlignment="1" applyProtection="1">
      <alignment horizontal="center"/>
      <protection locked="0"/>
    </xf>
    <xf numFmtId="10" fontId="52" fillId="7" borderId="121" xfId="2" applyNumberFormat="1" applyFont="1" applyFill="1" applyBorder="1" applyAlignment="1" applyProtection="1">
      <alignment horizontal="center"/>
      <protection hidden="1"/>
    </xf>
    <xf numFmtId="0" fontId="0" fillId="0" borderId="7" xfId="0" applyBorder="1" applyProtection="1">
      <protection hidden="1"/>
    </xf>
    <xf numFmtId="0" fontId="0" fillId="0" borderId="8" xfId="0" applyBorder="1" applyProtection="1">
      <protection hidden="1"/>
    </xf>
    <xf numFmtId="173" fontId="0" fillId="0" borderId="0" xfId="0" applyNumberFormat="1" applyBorder="1" applyProtection="1">
      <protection hidden="1"/>
    </xf>
    <xf numFmtId="9" fontId="0" fillId="0" borderId="0" xfId="2" applyFont="1" applyBorder="1" applyProtection="1">
      <protection hidden="1"/>
    </xf>
    <xf numFmtId="0" fontId="62" fillId="3" borderId="8" xfId="0" applyFont="1" applyFill="1" applyBorder="1" applyAlignment="1" applyProtection="1">
      <protection hidden="1"/>
    </xf>
    <xf numFmtId="173" fontId="0" fillId="8" borderId="0" xfId="0" applyNumberFormat="1" applyFill="1" applyBorder="1" applyProtection="1">
      <protection locked="0"/>
    </xf>
    <xf numFmtId="44" fontId="0" fillId="8" borderId="0" xfId="1" applyFont="1" applyFill="1" applyBorder="1" applyProtection="1">
      <protection locked="0"/>
    </xf>
    <xf numFmtId="0" fontId="1" fillId="0" borderId="0" xfId="0" applyFont="1" applyBorder="1" applyAlignment="1" applyProtection="1">
      <alignment horizontal="left"/>
      <protection hidden="1"/>
    </xf>
    <xf numFmtId="0" fontId="4" fillId="0" borderId="0" xfId="0" applyFont="1" applyBorder="1" applyAlignment="1" applyProtection="1">
      <alignment horizontal="center"/>
      <protection hidden="1"/>
    </xf>
    <xf numFmtId="0" fontId="21" fillId="7" borderId="17" xfId="0" applyFont="1" applyFill="1" applyBorder="1" applyAlignment="1" applyProtection="1">
      <alignment horizontal="right" vertical="center"/>
      <protection hidden="1"/>
    </xf>
    <xf numFmtId="0" fontId="66" fillId="0" borderId="0" xfId="0" applyFont="1" applyBorder="1" applyAlignment="1" applyProtection="1">
      <alignment horizontal="center"/>
      <protection hidden="1"/>
    </xf>
    <xf numFmtId="182" fontId="0" fillId="8" borderId="0" xfId="0" applyNumberFormat="1" applyFill="1" applyBorder="1" applyProtection="1">
      <protection locked="0"/>
    </xf>
    <xf numFmtId="182" fontId="0" fillId="0" borderId="0" xfId="0" applyNumberFormat="1" applyBorder="1" applyProtection="1">
      <protection hidden="1"/>
    </xf>
    <xf numFmtId="0" fontId="67" fillId="0" borderId="0" xfId="3" applyFont="1" applyBorder="1" applyAlignment="1" applyProtection="1">
      <alignment horizontal="center"/>
      <protection hidden="1"/>
    </xf>
    <xf numFmtId="0" fontId="0" fillId="0" borderId="0" xfId="0" applyBorder="1" applyAlignment="1" applyProtection="1">
      <alignment horizontal="center"/>
      <protection locked="0"/>
    </xf>
    <xf numFmtId="44" fontId="39" fillId="0" borderId="0" xfId="1" applyFont="1" applyBorder="1" applyProtection="1">
      <protection hidden="1"/>
    </xf>
    <xf numFmtId="44" fontId="39" fillId="8" borderId="0" xfId="1" applyFont="1" applyFill="1" applyBorder="1" applyProtection="1">
      <protection locked="0"/>
    </xf>
    <xf numFmtId="0" fontId="0" fillId="0" borderId="11" xfId="0" applyBorder="1" applyProtection="1">
      <protection hidden="1"/>
    </xf>
    <xf numFmtId="0" fontId="0" fillId="0" borderId="25" xfId="0" applyBorder="1" applyProtection="1">
      <protection hidden="1"/>
    </xf>
    <xf numFmtId="0" fontId="0" fillId="0" borderId="9" xfId="0" applyBorder="1" applyAlignment="1" applyProtection="1">
      <protection hidden="1"/>
    </xf>
    <xf numFmtId="0" fontId="0" fillId="0" borderId="12" xfId="0" applyBorder="1" applyAlignment="1" applyProtection="1">
      <protection hidden="1"/>
    </xf>
    <xf numFmtId="0" fontId="61" fillId="14" borderId="123" xfId="0" applyFont="1" applyFill="1" applyBorder="1" applyAlignment="1" applyProtection="1">
      <alignment horizontal="center" vertical="center" wrapText="1"/>
      <protection hidden="1"/>
    </xf>
    <xf numFmtId="178" fontId="63" fillId="17" borderId="123" xfId="0" applyNumberFormat="1" applyFont="1" applyFill="1" applyBorder="1" applyAlignment="1" applyProtection="1">
      <alignment horizontal="center" vertical="top" wrapText="1"/>
      <protection hidden="1"/>
    </xf>
    <xf numFmtId="181" fontId="63" fillId="17" borderId="123" xfId="0" applyNumberFormat="1" applyFont="1" applyFill="1" applyBorder="1" applyAlignment="1" applyProtection="1">
      <alignment vertical="top" wrapText="1"/>
      <protection hidden="1"/>
    </xf>
    <xf numFmtId="179" fontId="13" fillId="17" borderId="123" xfId="0" applyNumberFormat="1" applyFont="1" applyFill="1" applyBorder="1" applyAlignment="1" applyProtection="1">
      <alignment horizontal="center"/>
      <protection hidden="1"/>
    </xf>
    <xf numFmtId="180" fontId="13" fillId="17" borderId="123" xfId="0" applyNumberFormat="1" applyFont="1" applyFill="1" applyBorder="1" applyAlignment="1" applyProtection="1">
      <alignment horizontal="center"/>
      <protection hidden="1"/>
    </xf>
    <xf numFmtId="164" fontId="63" fillId="17" borderId="123" xfId="1" applyNumberFormat="1" applyFont="1" applyFill="1" applyBorder="1" applyAlignment="1" applyProtection="1">
      <alignment horizontal="center" vertical="top" wrapText="1"/>
      <protection hidden="1"/>
    </xf>
    <xf numFmtId="0" fontId="0" fillId="0" borderId="0" xfId="0" applyBorder="1" applyAlignment="1" applyProtection="1">
      <protection hidden="1"/>
    </xf>
    <xf numFmtId="0" fontId="50" fillId="3" borderId="126" xfId="0" applyFont="1" applyFill="1" applyBorder="1" applyProtection="1">
      <protection hidden="1"/>
    </xf>
    <xf numFmtId="0" fontId="13" fillId="3" borderId="35" xfId="0" applyFont="1" applyFill="1" applyBorder="1" applyAlignment="1" applyProtection="1">
      <alignment horizontal="center" vertical="center"/>
      <protection locked="0"/>
    </xf>
    <xf numFmtId="166" fontId="20" fillId="3" borderId="34" xfId="0" applyNumberFormat="1" applyFont="1" applyFill="1" applyBorder="1" applyAlignment="1" applyProtection="1">
      <alignment horizontal="left" vertical="center"/>
      <protection hidden="1"/>
    </xf>
    <xf numFmtId="0" fontId="13" fillId="3" borderId="35" xfId="0" applyNumberFormat="1" applyFont="1" applyFill="1" applyBorder="1" applyAlignment="1" applyProtection="1">
      <alignment horizontal="center" vertical="center"/>
      <protection locked="0"/>
    </xf>
    <xf numFmtId="166" fontId="36" fillId="3" borderId="111" xfId="0" applyNumberFormat="1" applyFont="1" applyFill="1" applyBorder="1" applyAlignment="1" applyProtection="1">
      <alignment horizontal="center" vertical="center"/>
      <protection hidden="1"/>
    </xf>
    <xf numFmtId="166" fontId="29" fillId="2" borderId="0" xfId="0" applyNumberFormat="1" applyFont="1" applyFill="1" applyBorder="1" applyAlignment="1" applyProtection="1">
      <alignment horizontal="center" vertical="center"/>
      <protection hidden="1"/>
    </xf>
    <xf numFmtId="166" fontId="30" fillId="2" borderId="49" xfId="0" applyNumberFormat="1" applyFont="1" applyFill="1" applyBorder="1" applyAlignment="1" applyProtection="1">
      <alignment horizontal="center" vertical="center"/>
      <protection hidden="1"/>
    </xf>
    <xf numFmtId="0" fontId="65" fillId="18" borderId="6" xfId="3" applyFont="1" applyFill="1" applyBorder="1" applyAlignment="1" applyProtection="1">
      <protection hidden="1"/>
    </xf>
    <xf numFmtId="0" fontId="65" fillId="18" borderId="11" xfId="3" applyFont="1" applyFill="1" applyBorder="1" applyAlignment="1" applyProtection="1">
      <alignment horizontal="right"/>
      <protection hidden="1"/>
    </xf>
    <xf numFmtId="0" fontId="65" fillId="18" borderId="11" xfId="3" applyFont="1" applyFill="1" applyBorder="1" applyAlignment="1" applyProtection="1">
      <protection hidden="1"/>
    </xf>
    <xf numFmtId="14" fontId="65" fillId="18" borderId="11" xfId="3" applyNumberFormat="1" applyFont="1" applyFill="1" applyBorder="1" applyAlignment="1" applyProtection="1">
      <protection hidden="1"/>
    </xf>
    <xf numFmtId="0" fontId="60" fillId="18" borderId="11" xfId="0" applyFont="1" applyFill="1" applyBorder="1" applyProtection="1">
      <protection hidden="1"/>
    </xf>
    <xf numFmtId="0" fontId="2" fillId="18" borderId="11" xfId="0" applyFont="1" applyFill="1" applyBorder="1" applyProtection="1">
      <protection hidden="1"/>
    </xf>
    <xf numFmtId="0" fontId="2" fillId="18" borderId="25" xfId="0" applyFont="1" applyFill="1" applyBorder="1" applyProtection="1">
      <protection hidden="1"/>
    </xf>
    <xf numFmtId="0" fontId="65" fillId="18" borderId="19" xfId="3" applyFont="1" applyFill="1" applyBorder="1" applyAlignment="1" applyProtection="1">
      <protection hidden="1"/>
    </xf>
    <xf numFmtId="0" fontId="65" fillId="18" borderId="19" xfId="3" applyFont="1" applyFill="1" applyBorder="1" applyAlignment="1" applyProtection="1">
      <alignment horizontal="right"/>
      <protection hidden="1"/>
    </xf>
    <xf numFmtId="14" fontId="65" fillId="18" borderId="19" xfId="3" applyNumberFormat="1" applyFont="1" applyFill="1" applyBorder="1" applyAlignment="1" applyProtection="1">
      <protection hidden="1"/>
    </xf>
    <xf numFmtId="0" fontId="60" fillId="18" borderId="19" xfId="0" applyFont="1" applyFill="1" applyBorder="1" applyProtection="1">
      <protection hidden="1"/>
    </xf>
    <xf numFmtId="0" fontId="2" fillId="18" borderId="17" xfId="0" applyFont="1" applyFill="1" applyBorder="1" applyProtection="1">
      <protection hidden="1"/>
    </xf>
    <xf numFmtId="183" fontId="0" fillId="0" borderId="0" xfId="0" applyNumberFormat="1" applyAlignment="1" applyProtection="1">
      <alignment wrapText="1"/>
      <protection hidden="1"/>
    </xf>
    <xf numFmtId="14" fontId="0" fillId="0" borderId="0" xfId="0" applyNumberFormat="1" applyAlignment="1" applyProtection="1">
      <alignment wrapText="1"/>
      <protection hidden="1"/>
    </xf>
    <xf numFmtId="0" fontId="73" fillId="0" borderId="0" xfId="3" applyFont="1" applyAlignment="1" applyProtection="1">
      <alignment horizontal="left" vertical="center"/>
      <protection hidden="1"/>
    </xf>
    <xf numFmtId="164" fontId="18" fillId="3" borderId="32" xfId="1" applyNumberFormat="1" applyFont="1" applyFill="1" applyBorder="1" applyAlignment="1" applyProtection="1">
      <alignment vertical="center"/>
      <protection hidden="1"/>
    </xf>
    <xf numFmtId="0" fontId="22" fillId="0" borderId="0" xfId="0" applyFont="1" applyBorder="1" applyAlignment="1" applyProtection="1">
      <protection hidden="1"/>
    </xf>
    <xf numFmtId="0" fontId="0" fillId="0" borderId="0" xfId="0" applyBorder="1" applyAlignment="1" applyProtection="1">
      <alignment horizontal="left"/>
      <protection hidden="1"/>
    </xf>
    <xf numFmtId="0" fontId="25" fillId="0" borderId="0" xfId="0" applyFont="1" applyBorder="1" applyAlignment="1" applyProtection="1">
      <alignment horizontal="center" vertical="center"/>
      <protection hidden="1"/>
    </xf>
    <xf numFmtId="0" fontId="1" fillId="0" borderId="0" xfId="0" applyFont="1" applyAlignment="1">
      <alignment horizontal="center" vertical="center" wrapText="1" shrinkToFit="1"/>
    </xf>
    <xf numFmtId="14" fontId="0" fillId="0" borderId="0" xfId="0" applyNumberFormat="1" applyBorder="1" applyAlignment="1" applyProtection="1">
      <alignment horizontal="center" vertical="center"/>
      <protection hidden="1"/>
    </xf>
    <xf numFmtId="0" fontId="0" fillId="0" borderId="8" xfId="0" applyBorder="1" applyAlignment="1" applyProtection="1">
      <alignment horizontal="left"/>
      <protection hidden="1"/>
    </xf>
    <xf numFmtId="184" fontId="0" fillId="8" borderId="0" xfId="0" applyNumberFormat="1" applyFill="1" applyBorder="1" applyAlignment="1" applyProtection="1">
      <alignment horizontal="center"/>
      <protection locked="0"/>
    </xf>
    <xf numFmtId="173" fontId="0" fillId="3" borderId="0" xfId="0" applyNumberFormat="1" applyFill="1" applyBorder="1" applyProtection="1">
      <protection locked="0"/>
    </xf>
    <xf numFmtId="184" fontId="0" fillId="3" borderId="0" xfId="0" applyNumberFormat="1" applyFill="1" applyBorder="1" applyProtection="1">
      <protection locked="0"/>
    </xf>
    <xf numFmtId="0" fontId="2" fillId="0" borderId="22" xfId="0" applyFont="1" applyBorder="1" applyAlignment="1" applyProtection="1">
      <alignment horizontal="right" vertical="center"/>
      <protection hidden="1"/>
    </xf>
    <xf numFmtId="0" fontId="0" fillId="0" borderId="76" xfId="0" applyBorder="1" applyAlignment="1" applyProtection="1">
      <alignment horizontal="center"/>
      <protection locked="0"/>
    </xf>
    <xf numFmtId="0" fontId="2" fillId="0" borderId="35" xfId="0" applyFont="1" applyBorder="1" applyAlignment="1" applyProtection="1">
      <alignment horizontal="right" vertical="center"/>
      <protection hidden="1"/>
    </xf>
    <xf numFmtId="0" fontId="0" fillId="0" borderId="131" xfId="0" applyBorder="1" applyAlignment="1" applyProtection="1">
      <alignment horizontal="center"/>
      <protection locked="0"/>
    </xf>
    <xf numFmtId="0" fontId="2" fillId="0" borderId="132" xfId="0" applyFont="1" applyBorder="1" applyAlignment="1" applyProtection="1">
      <alignment horizontal="right" vertical="center"/>
      <protection hidden="1"/>
    </xf>
    <xf numFmtId="0" fontId="0" fillId="0" borderId="132" xfId="0" applyBorder="1" applyAlignment="1" applyProtection="1">
      <alignment horizontal="center"/>
      <protection locked="0"/>
    </xf>
    <xf numFmtId="14" fontId="0" fillId="0" borderId="133" xfId="0" applyNumberFormat="1" applyBorder="1" applyAlignment="1" applyProtection="1">
      <alignment horizontal="center"/>
      <protection locked="0"/>
    </xf>
    <xf numFmtId="0" fontId="0" fillId="20" borderId="0" xfId="0" applyFill="1" applyBorder="1" applyAlignment="1" applyProtection="1">
      <alignment horizontal="center"/>
      <protection locked="0"/>
    </xf>
    <xf numFmtId="44" fontId="63" fillId="17" borderId="123" xfId="1" applyNumberFormat="1" applyFont="1" applyFill="1" applyBorder="1" applyAlignment="1" applyProtection="1">
      <alignment horizontal="center" vertical="top" wrapText="1"/>
      <protection hidden="1"/>
    </xf>
    <xf numFmtId="14" fontId="18" fillId="0" borderId="130" xfId="0" applyNumberFormat="1" applyFont="1" applyBorder="1" applyAlignment="1" applyProtection="1">
      <protection locked="0"/>
    </xf>
    <xf numFmtId="2" fontId="23" fillId="7" borderId="20" xfId="0" applyNumberFormat="1" applyFont="1" applyFill="1" applyBorder="1" applyProtection="1">
      <protection hidden="1"/>
    </xf>
    <xf numFmtId="164" fontId="23" fillId="7" borderId="29" xfId="0" applyNumberFormat="1" applyFont="1" applyFill="1" applyBorder="1" applyProtection="1">
      <protection hidden="1"/>
    </xf>
    <xf numFmtId="164" fontId="8" fillId="7" borderId="41" xfId="0" applyNumberFormat="1" applyFont="1" applyFill="1" applyBorder="1" applyProtection="1">
      <protection hidden="1"/>
    </xf>
    <xf numFmtId="44" fontId="6" fillId="7" borderId="5" xfId="1" applyFont="1" applyFill="1" applyBorder="1" applyAlignment="1" applyProtection="1">
      <alignment horizontal="center" vertical="center" wrapText="1"/>
      <protection hidden="1"/>
    </xf>
    <xf numFmtId="44" fontId="32" fillId="7" borderId="5" xfId="1" applyFont="1" applyFill="1" applyBorder="1" applyAlignment="1" applyProtection="1">
      <alignment horizontal="right" vertical="center" wrapText="1"/>
      <protection hidden="1"/>
    </xf>
    <xf numFmtId="0" fontId="23" fillId="0" borderId="0" xfId="0" applyFont="1" applyProtection="1">
      <protection hidden="1"/>
    </xf>
    <xf numFmtId="164" fontId="18" fillId="0" borderId="134" xfId="1" applyNumberFormat="1" applyFont="1" applyBorder="1" applyAlignment="1" applyProtection="1">
      <alignment horizontal="center" vertical="center"/>
      <protection hidden="1"/>
    </xf>
    <xf numFmtId="0" fontId="12" fillId="7" borderId="135" xfId="0" applyFont="1" applyFill="1" applyBorder="1" applyAlignment="1" applyProtection="1">
      <alignment horizontal="center" vertical="center" wrapText="1"/>
      <protection hidden="1"/>
    </xf>
    <xf numFmtId="0" fontId="21" fillId="7" borderId="120" xfId="0" applyFont="1" applyFill="1" applyBorder="1" applyAlignment="1" applyProtection="1">
      <alignment horizontal="left" vertical="center"/>
      <protection hidden="1"/>
    </xf>
    <xf numFmtId="0" fontId="0" fillId="0" borderId="0" xfId="0" applyAlignment="1" applyProtection="1">
      <protection hidden="1"/>
    </xf>
    <xf numFmtId="0" fontId="12" fillId="7" borderId="63" xfId="0" applyFont="1" applyFill="1" applyBorder="1" applyAlignment="1" applyProtection="1">
      <alignment vertical="center" wrapText="1"/>
      <protection hidden="1"/>
    </xf>
    <xf numFmtId="170" fontId="85" fillId="18" borderId="19" xfId="1" applyNumberFormat="1" applyFont="1" applyFill="1" applyBorder="1" applyAlignment="1" applyProtection="1">
      <alignment horizontal="left" vertical="center"/>
      <protection hidden="1"/>
    </xf>
    <xf numFmtId="2" fontId="85" fillId="18" borderId="19" xfId="1" applyNumberFormat="1" applyFont="1" applyFill="1" applyBorder="1" applyAlignment="1" applyProtection="1">
      <alignment horizontal="left" vertical="center"/>
      <protection hidden="1"/>
    </xf>
    <xf numFmtId="0" fontId="56" fillId="0" borderId="0" xfId="1" applyNumberFormat="1" applyFont="1" applyBorder="1" applyAlignment="1" applyProtection="1">
      <protection hidden="1"/>
    </xf>
    <xf numFmtId="0" fontId="43" fillId="0" borderId="0" xfId="3" applyAlignment="1" applyProtection="1"/>
    <xf numFmtId="0" fontId="86" fillId="0" borderId="0" xfId="4"/>
    <xf numFmtId="0" fontId="87" fillId="0" borderId="0" xfId="4" applyFont="1"/>
    <xf numFmtId="0" fontId="86" fillId="5" borderId="138" xfId="4" applyFont="1" applyFill="1" applyBorder="1"/>
    <xf numFmtId="0" fontId="86" fillId="21" borderId="138" xfId="4" applyFont="1" applyFill="1" applyBorder="1"/>
    <xf numFmtId="0" fontId="86" fillId="0" borderId="0" xfId="4" applyNumberFormat="1"/>
    <xf numFmtId="0" fontId="86" fillId="22" borderId="138" xfId="4" applyFont="1" applyFill="1" applyBorder="1"/>
    <xf numFmtId="0" fontId="39" fillId="18" borderId="0" xfId="0" applyFont="1" applyFill="1" applyProtection="1">
      <protection locked="0"/>
    </xf>
    <xf numFmtId="0" fontId="0" fillId="0" borderId="0" xfId="0" applyAlignment="1">
      <alignment horizontal="left" indent="1"/>
    </xf>
    <xf numFmtId="0" fontId="43" fillId="0" borderId="0" xfId="3" applyAlignment="1" applyProtection="1">
      <alignment horizontal="left" indent="1"/>
    </xf>
    <xf numFmtId="0" fontId="43" fillId="0" borderId="0" xfId="3" applyAlignment="1" applyProtection="1">
      <alignment horizontal="left" indent="2"/>
    </xf>
    <xf numFmtId="0" fontId="0" fillId="0" borderId="0" xfId="0" applyAlignment="1">
      <alignment horizontal="left" vertical="top" wrapText="1"/>
    </xf>
    <xf numFmtId="0" fontId="43" fillId="0" borderId="0" xfId="3" applyAlignment="1" applyProtection="1">
      <alignment horizontal="center"/>
    </xf>
    <xf numFmtId="14" fontId="0" fillId="0" borderId="0" xfId="0" applyNumberFormat="1"/>
    <xf numFmtId="14" fontId="31" fillId="0" borderId="0" xfId="0" applyNumberFormat="1" applyFont="1" applyProtection="1">
      <protection hidden="1"/>
    </xf>
    <xf numFmtId="0" fontId="31" fillId="18" borderId="0" xfId="0" applyFont="1" applyFill="1" applyProtection="1">
      <protection hidden="1"/>
    </xf>
    <xf numFmtId="0" fontId="88" fillId="0" borderId="0" xfId="3" applyFont="1" applyAlignment="1" applyProtection="1">
      <alignment horizontal="center" vertical="top"/>
      <protection hidden="1"/>
    </xf>
    <xf numFmtId="0" fontId="92" fillId="18" borderId="0" xfId="0" applyFont="1" applyFill="1" applyAlignment="1">
      <alignment horizontal="center" vertical="center"/>
    </xf>
    <xf numFmtId="0" fontId="60" fillId="23" borderId="25" xfId="0" applyFont="1" applyFill="1" applyBorder="1"/>
    <xf numFmtId="0" fontId="60" fillId="23" borderId="8" xfId="0" applyFont="1" applyFill="1" applyBorder="1"/>
    <xf numFmtId="0" fontId="60" fillId="23" borderId="10" xfId="0" applyFont="1" applyFill="1" applyBorder="1"/>
    <xf numFmtId="0" fontId="87" fillId="21" borderId="138" xfId="4" applyFont="1" applyFill="1" applyBorder="1"/>
    <xf numFmtId="0" fontId="86" fillId="5" borderId="140" xfId="4" applyFont="1" applyFill="1" applyBorder="1"/>
    <xf numFmtId="0" fontId="86" fillId="21" borderId="140" xfId="4" applyFont="1" applyFill="1" applyBorder="1"/>
    <xf numFmtId="0" fontId="86" fillId="22" borderId="140" xfId="4" applyFont="1" applyFill="1" applyBorder="1"/>
    <xf numFmtId="0" fontId="87" fillId="5" borderId="141" xfId="4" applyFont="1" applyFill="1" applyBorder="1"/>
    <xf numFmtId="0" fontId="87" fillId="21" borderId="142" xfId="4" applyFont="1" applyFill="1" applyBorder="1"/>
    <xf numFmtId="0" fontId="87" fillId="22" borderId="143" xfId="4" applyFont="1" applyFill="1" applyBorder="1"/>
    <xf numFmtId="0" fontId="87" fillId="5" borderId="144" xfId="4" applyFont="1" applyFill="1" applyBorder="1"/>
    <xf numFmtId="0" fontId="67" fillId="22" borderId="145" xfId="3" applyFont="1" applyFill="1" applyBorder="1" applyAlignment="1" applyProtection="1"/>
    <xf numFmtId="0" fontId="87" fillId="5" borderId="146" xfId="4" applyFont="1" applyFill="1" applyBorder="1"/>
    <xf numFmtId="0" fontId="87" fillId="21" borderId="147" xfId="4" applyFont="1" applyFill="1" applyBorder="1"/>
    <xf numFmtId="0" fontId="67" fillId="22" borderId="148" xfId="3" applyFont="1" applyFill="1" applyBorder="1" applyAlignment="1" applyProtection="1"/>
    <xf numFmtId="0" fontId="93" fillId="0" borderId="0" xfId="4" applyFont="1"/>
    <xf numFmtId="0" fontId="87" fillId="0" borderId="0" xfId="4" applyNumberFormat="1" applyFont="1"/>
    <xf numFmtId="0" fontId="0" fillId="0" borderId="0" xfId="0" applyAlignment="1">
      <alignment horizontal="center"/>
    </xf>
    <xf numFmtId="0" fontId="85" fillId="18" borderId="52" xfId="0" applyFont="1" applyFill="1" applyBorder="1" applyAlignment="1" applyProtection="1">
      <alignment horizontal="center" vertical="center" wrapText="1"/>
      <protection hidden="1"/>
    </xf>
    <xf numFmtId="0" fontId="85" fillId="18" borderId="24" xfId="0" applyFont="1" applyFill="1" applyBorder="1" applyAlignment="1" applyProtection="1">
      <alignment horizontal="center" vertical="center" wrapText="1"/>
      <protection hidden="1"/>
    </xf>
    <xf numFmtId="44" fontId="94" fillId="18" borderId="5" xfId="1" applyFont="1" applyFill="1" applyBorder="1" applyAlignment="1" applyProtection="1">
      <alignment horizontal="center" vertical="center" wrapText="1"/>
      <protection hidden="1"/>
    </xf>
    <xf numFmtId="0" fontId="1" fillId="0" borderId="0" xfId="0" applyFont="1" applyBorder="1" applyAlignment="1" applyProtection="1">
      <protection hidden="1"/>
    </xf>
    <xf numFmtId="4" fontId="63" fillId="17" borderId="123" xfId="0" applyNumberFormat="1" applyFont="1" applyFill="1" applyBorder="1" applyAlignment="1" applyProtection="1">
      <alignment vertical="top" wrapText="1"/>
      <protection hidden="1"/>
    </xf>
    <xf numFmtId="0" fontId="24" fillId="0" borderId="0" xfId="0" applyFont="1" applyAlignment="1">
      <alignment horizontal="center"/>
    </xf>
    <xf numFmtId="0" fontId="1" fillId="25" borderId="0" xfId="0" applyFont="1" applyFill="1" applyBorder="1" applyAlignment="1" applyProtection="1">
      <protection hidden="1"/>
    </xf>
    <xf numFmtId="186" fontId="1" fillId="25" borderId="0" xfId="0" applyNumberFormat="1" applyFont="1" applyFill="1" applyBorder="1" applyAlignment="1" applyProtection="1">
      <alignment horizontal="left"/>
      <protection hidden="1"/>
    </xf>
    <xf numFmtId="0" fontId="1" fillId="25" borderId="0" xfId="0" applyFont="1" applyFill="1" applyBorder="1" applyAlignment="1" applyProtection="1">
      <alignment horizontal="left"/>
      <protection hidden="1"/>
    </xf>
    <xf numFmtId="0" fontId="0" fillId="25" borderId="0" xfId="0" applyFill="1" applyProtection="1">
      <protection hidden="1"/>
    </xf>
    <xf numFmtId="0" fontId="0" fillId="25" borderId="0" xfId="0" applyFont="1" applyFill="1" applyBorder="1" applyAlignment="1" applyProtection="1">
      <protection hidden="1"/>
    </xf>
    <xf numFmtId="0" fontId="25" fillId="0" borderId="37" xfId="0" applyFont="1" applyBorder="1" applyProtection="1">
      <protection hidden="1"/>
    </xf>
    <xf numFmtId="0" fontId="0" fillId="25" borderId="0" xfId="0" applyFont="1" applyFill="1" applyProtection="1">
      <protection hidden="1"/>
    </xf>
    <xf numFmtId="0" fontId="31" fillId="0" borderId="37" xfId="0" applyFont="1" applyBorder="1" applyAlignment="1" applyProtection="1">
      <alignment horizontal="center"/>
      <protection hidden="1"/>
    </xf>
    <xf numFmtId="0" fontId="4" fillId="0" borderId="6" xfId="0" applyFont="1" applyBorder="1" applyProtection="1">
      <protection hidden="1"/>
    </xf>
    <xf numFmtId="184" fontId="4" fillId="0" borderId="25" xfId="0" applyNumberFormat="1" applyFont="1" applyBorder="1" applyProtection="1">
      <protection hidden="1"/>
    </xf>
    <xf numFmtId="0" fontId="4" fillId="0" borderId="9" xfId="0" applyFont="1" applyBorder="1" applyProtection="1">
      <protection hidden="1"/>
    </xf>
    <xf numFmtId="184" fontId="4" fillId="0" borderId="10" xfId="0" applyNumberFormat="1" applyFont="1" applyBorder="1" applyProtection="1">
      <protection hidden="1"/>
    </xf>
    <xf numFmtId="0" fontId="4" fillId="0" borderId="7" xfId="0" applyFont="1" applyBorder="1" applyProtection="1">
      <protection hidden="1"/>
    </xf>
    <xf numFmtId="184" fontId="4" fillId="0" borderId="8" xfId="0" applyNumberFormat="1" applyFont="1" applyBorder="1" applyProtection="1">
      <protection hidden="1"/>
    </xf>
    <xf numFmtId="0" fontId="0" fillId="25" borderId="0" xfId="0" applyFill="1" applyBorder="1" applyProtection="1">
      <protection hidden="1"/>
    </xf>
    <xf numFmtId="187" fontId="0" fillId="0" borderId="0" xfId="0" applyNumberFormat="1" applyBorder="1" applyAlignment="1" applyProtection="1">
      <alignment horizontal="center"/>
      <protection hidden="1"/>
    </xf>
    <xf numFmtId="184" fontId="0" fillId="0" borderId="0" xfId="0" applyNumberFormat="1" applyFill="1" applyBorder="1" applyAlignment="1" applyProtection="1">
      <alignment horizontal="center"/>
      <protection hidden="1"/>
    </xf>
    <xf numFmtId="0" fontId="0" fillId="25" borderId="0" xfId="0" applyFill="1" applyBorder="1" applyAlignment="1" applyProtection="1">
      <alignment horizontal="center"/>
      <protection hidden="1"/>
    </xf>
    <xf numFmtId="0" fontId="99" fillId="0" borderId="9" xfId="0" applyFont="1" applyBorder="1" applyProtection="1">
      <protection hidden="1"/>
    </xf>
    <xf numFmtId="187" fontId="99" fillId="0" borderId="12" xfId="0" applyNumberFormat="1" applyFont="1" applyBorder="1" applyAlignment="1" applyProtection="1">
      <alignment horizontal="center"/>
      <protection hidden="1"/>
    </xf>
    <xf numFmtId="184" fontId="99" fillId="0" borderId="12" xfId="0" applyNumberFormat="1" applyFont="1" applyBorder="1" applyAlignment="1" applyProtection="1">
      <alignment horizontal="center"/>
      <protection hidden="1"/>
    </xf>
    <xf numFmtId="0" fontId="99" fillId="25" borderId="12" xfId="0" applyFont="1" applyFill="1" applyBorder="1" applyAlignment="1" applyProtection="1">
      <alignment horizontal="center"/>
      <protection hidden="1"/>
    </xf>
    <xf numFmtId="0" fontId="0" fillId="0" borderId="0" xfId="0" applyFill="1" applyProtection="1">
      <protection hidden="1"/>
    </xf>
    <xf numFmtId="0" fontId="1" fillId="0" borderId="0" xfId="0" applyFont="1" applyBorder="1" applyAlignment="1" applyProtection="1">
      <alignment horizontal="left"/>
      <protection hidden="1"/>
    </xf>
    <xf numFmtId="0" fontId="1" fillId="16" borderId="7" xfId="0" applyFont="1" applyFill="1" applyBorder="1" applyAlignment="1" applyProtection="1">
      <alignment horizontal="left"/>
      <protection hidden="1"/>
    </xf>
    <xf numFmtId="0" fontId="0" fillId="8" borderId="0" xfId="0" applyFill="1" applyBorder="1" applyAlignment="1" applyProtection="1">
      <alignment horizontal="center"/>
      <protection locked="0"/>
    </xf>
    <xf numFmtId="0" fontId="1" fillId="16" borderId="9" xfId="0" applyFont="1" applyFill="1" applyBorder="1" applyAlignment="1" applyProtection="1">
      <alignment horizontal="left"/>
      <protection hidden="1"/>
    </xf>
    <xf numFmtId="182" fontId="0" fillId="0" borderId="0" xfId="0" applyNumberFormat="1" applyBorder="1" applyAlignment="1" applyProtection="1">
      <alignment horizontal="center"/>
      <protection hidden="1"/>
    </xf>
    <xf numFmtId="0" fontId="25" fillId="0" borderId="0" xfId="0" applyFont="1" applyBorder="1" applyAlignment="1" applyProtection="1">
      <alignment horizontal="center"/>
      <protection hidden="1"/>
    </xf>
    <xf numFmtId="182" fontId="99" fillId="0" borderId="12" xfId="0" applyNumberFormat="1" applyFont="1" applyBorder="1" applyAlignment="1" applyProtection="1">
      <alignment horizontal="center"/>
      <protection hidden="1"/>
    </xf>
    <xf numFmtId="0" fontId="1" fillId="0" borderId="0" xfId="0" applyFont="1" applyAlignment="1" applyProtection="1">
      <alignment horizontal="center"/>
      <protection hidden="1"/>
    </xf>
    <xf numFmtId="0" fontId="31" fillId="18" borderId="15" xfId="0" applyFont="1" applyFill="1" applyBorder="1" applyAlignment="1" applyProtection="1">
      <alignment horizontal="center" vertical="center"/>
      <protection hidden="1"/>
    </xf>
    <xf numFmtId="0" fontId="24" fillId="18" borderId="6" xfId="0" applyNumberFormat="1" applyFont="1" applyFill="1" applyBorder="1" applyAlignment="1" applyProtection="1">
      <alignment horizontal="center" wrapText="1"/>
      <protection hidden="1"/>
    </xf>
    <xf numFmtId="0" fontId="97" fillId="18" borderId="25" xfId="0" applyNumberFormat="1" applyFont="1" applyFill="1" applyBorder="1" applyAlignment="1" applyProtection="1">
      <alignment horizontal="center" wrapText="1"/>
      <protection hidden="1"/>
    </xf>
    <xf numFmtId="0" fontId="1" fillId="0" borderId="16" xfId="0" applyFont="1" applyBorder="1" applyAlignment="1" applyProtection="1">
      <protection hidden="1"/>
    </xf>
    <xf numFmtId="182" fontId="89" fillId="0" borderId="19" xfId="0" applyNumberFormat="1" applyFont="1" applyBorder="1" applyAlignment="1" applyProtection="1">
      <alignment horizontal="center" vertical="center"/>
      <protection hidden="1"/>
    </xf>
    <xf numFmtId="0" fontId="4" fillId="0" borderId="19" xfId="0" applyFont="1" applyBorder="1" applyAlignment="1" applyProtection="1">
      <alignment horizontal="center" vertical="center"/>
      <protection hidden="1"/>
    </xf>
    <xf numFmtId="0" fontId="0" fillId="25" borderId="19" xfId="0" applyFill="1" applyBorder="1" applyProtection="1">
      <protection hidden="1"/>
    </xf>
    <xf numFmtId="186" fontId="1" fillId="0" borderId="0" xfId="0" applyNumberFormat="1" applyFont="1" applyBorder="1" applyAlignment="1" applyProtection="1">
      <alignment horizontal="left"/>
      <protection hidden="1"/>
    </xf>
    <xf numFmtId="0" fontId="1" fillId="27" borderId="15" xfId="0" applyFont="1" applyFill="1" applyBorder="1" applyAlignment="1" applyProtection="1">
      <alignment horizontal="center"/>
      <protection hidden="1"/>
    </xf>
    <xf numFmtId="0" fontId="0" fillId="27" borderId="19" xfId="0" applyFill="1" applyBorder="1" applyProtection="1">
      <protection hidden="1"/>
    </xf>
    <xf numFmtId="0" fontId="1" fillId="27" borderId="18" xfId="0" applyFont="1" applyFill="1" applyBorder="1" applyAlignment="1" applyProtection="1">
      <alignment horizontal="center"/>
      <protection hidden="1"/>
    </xf>
    <xf numFmtId="0" fontId="1" fillId="27" borderId="12" xfId="0" applyFont="1" applyFill="1" applyBorder="1" applyAlignment="1" applyProtection="1">
      <alignment horizontal="center"/>
      <protection hidden="1"/>
    </xf>
    <xf numFmtId="0" fontId="1" fillId="27" borderId="10" xfId="0" applyFont="1" applyFill="1" applyBorder="1" applyAlignment="1" applyProtection="1">
      <alignment horizontal="center"/>
      <protection hidden="1"/>
    </xf>
    <xf numFmtId="187" fontId="99" fillId="0" borderId="10" xfId="0" applyNumberFormat="1" applyFont="1" applyBorder="1" applyProtection="1">
      <protection hidden="1"/>
    </xf>
    <xf numFmtId="0" fontId="25" fillId="0" borderId="7" xfId="0" applyFont="1" applyBorder="1" applyAlignment="1" applyProtection="1">
      <alignment horizontal="center"/>
      <protection hidden="1"/>
    </xf>
    <xf numFmtId="184" fontId="0" fillId="0" borderId="7" xfId="0" applyNumberFormat="1" applyFill="1" applyBorder="1" applyAlignment="1" applyProtection="1">
      <alignment horizontal="center"/>
      <protection hidden="1"/>
    </xf>
    <xf numFmtId="184" fontId="99" fillId="0" borderId="9" xfId="0" applyNumberFormat="1" applyFont="1" applyBorder="1" applyAlignment="1" applyProtection="1">
      <alignment horizontal="center"/>
      <protection hidden="1"/>
    </xf>
    <xf numFmtId="0" fontId="103" fillId="0" borderId="8" xfId="3" applyFont="1" applyBorder="1" applyAlignment="1" applyProtection="1">
      <alignment horizontal="center"/>
      <protection hidden="1"/>
    </xf>
    <xf numFmtId="0" fontId="0" fillId="0" borderId="0" xfId="0" applyBorder="1" applyAlignment="1" applyProtection="1">
      <alignment horizontal="center" vertical="top"/>
      <protection hidden="1"/>
    </xf>
    <xf numFmtId="14" fontId="0" fillId="0" borderId="8" xfId="0" applyNumberFormat="1" applyBorder="1" applyAlignment="1" applyProtection="1">
      <alignment horizontal="center" vertical="top"/>
      <protection hidden="1"/>
    </xf>
    <xf numFmtId="0" fontId="23" fillId="0" borderId="0" xfId="0" applyFont="1" applyBorder="1" applyAlignment="1" applyProtection="1">
      <alignment horizontal="center"/>
      <protection hidden="1"/>
    </xf>
    <xf numFmtId="0" fontId="23" fillId="0" borderId="8" xfId="0" applyFont="1" applyBorder="1" applyAlignment="1" applyProtection="1">
      <alignment horizontal="center"/>
      <protection hidden="1"/>
    </xf>
    <xf numFmtId="44" fontId="0" fillId="0" borderId="0" xfId="1" applyFont="1" applyBorder="1" applyProtection="1">
      <protection hidden="1"/>
    </xf>
    <xf numFmtId="44" fontId="24" fillId="0" borderId="0" xfId="1" applyFont="1" applyBorder="1" applyProtection="1">
      <protection hidden="1"/>
    </xf>
    <xf numFmtId="0" fontId="23" fillId="0" borderId="11" xfId="0" applyFont="1" applyBorder="1" applyAlignment="1" applyProtection="1">
      <alignment horizontal="center"/>
      <protection hidden="1"/>
    </xf>
    <xf numFmtId="0" fontId="23" fillId="0" borderId="25" xfId="0" applyFont="1" applyBorder="1" applyAlignment="1" applyProtection="1">
      <alignment horizontal="center"/>
      <protection hidden="1"/>
    </xf>
    <xf numFmtId="0" fontId="0" fillId="0" borderId="0" xfId="0" applyBorder="1" applyAlignment="1" applyProtection="1">
      <alignment horizontal="right"/>
      <protection hidden="1"/>
    </xf>
    <xf numFmtId="0" fontId="0" fillId="0" borderId="12" xfId="0" applyBorder="1" applyAlignment="1" applyProtection="1">
      <alignment horizontal="right"/>
      <protection hidden="1"/>
    </xf>
    <xf numFmtId="0" fontId="1" fillId="27" borderId="6" xfId="0" applyFont="1" applyFill="1" applyBorder="1" applyAlignment="1" applyProtection="1">
      <alignment horizontal="center"/>
      <protection hidden="1"/>
    </xf>
    <xf numFmtId="0" fontId="102" fillId="28" borderId="12" xfId="0" applyFont="1" applyFill="1" applyBorder="1" applyAlignment="1" applyProtection="1">
      <alignment horizontal="right"/>
      <protection hidden="1"/>
    </xf>
    <xf numFmtId="0" fontId="18" fillId="0" borderId="7" xfId="0" applyFont="1" applyFill="1" applyBorder="1" applyProtection="1">
      <protection hidden="1"/>
    </xf>
    <xf numFmtId="0" fontId="1" fillId="0" borderId="0" xfId="0" applyFont="1" applyBorder="1" applyAlignment="1" applyProtection="1">
      <alignment horizontal="right"/>
      <protection hidden="1"/>
    </xf>
    <xf numFmtId="0" fontId="102" fillId="28" borderId="12" xfId="0" applyFont="1" applyFill="1" applyBorder="1" applyProtection="1">
      <protection hidden="1"/>
    </xf>
    <xf numFmtId="0" fontId="99" fillId="5" borderId="6" xfId="0" applyNumberFormat="1" applyFont="1" applyFill="1" applyBorder="1" applyAlignment="1" applyProtection="1">
      <alignment vertical="justify" wrapText="1"/>
      <protection hidden="1"/>
    </xf>
    <xf numFmtId="184" fontId="99" fillId="5" borderId="25" xfId="0" applyNumberFormat="1" applyFont="1" applyFill="1" applyBorder="1" applyProtection="1">
      <protection hidden="1"/>
    </xf>
    <xf numFmtId="0" fontId="99" fillId="5" borderId="7" xfId="0" applyNumberFormat="1" applyFont="1" applyFill="1" applyBorder="1" applyAlignment="1" applyProtection="1">
      <alignment vertical="justify" wrapText="1"/>
      <protection hidden="1"/>
    </xf>
    <xf numFmtId="184" fontId="99" fillId="5" borderId="8" xfId="0" applyNumberFormat="1" applyFont="1" applyFill="1" applyBorder="1" applyProtection="1">
      <protection hidden="1"/>
    </xf>
    <xf numFmtId="0" fontId="99" fillId="5" borderId="9" xfId="0" applyNumberFormat="1" applyFont="1" applyFill="1" applyBorder="1" applyAlignment="1" applyProtection="1">
      <alignment vertical="justify" wrapText="1"/>
      <protection hidden="1"/>
    </xf>
    <xf numFmtId="184" fontId="99" fillId="5" borderId="10" xfId="0" applyNumberFormat="1" applyFont="1" applyFill="1" applyBorder="1" applyProtection="1">
      <protection hidden="1"/>
    </xf>
    <xf numFmtId="0" fontId="43" fillId="10" borderId="7" xfId="3" applyFill="1" applyBorder="1" applyAlignment="1" applyProtection="1">
      <alignment horizontal="center"/>
      <protection hidden="1"/>
    </xf>
    <xf numFmtId="0" fontId="43" fillId="10" borderId="0" xfId="3" applyFill="1" applyBorder="1" applyAlignment="1" applyProtection="1">
      <alignment horizontal="center"/>
      <protection hidden="1"/>
    </xf>
    <xf numFmtId="0" fontId="43" fillId="10" borderId="8" xfId="3" applyFill="1" applyBorder="1" applyAlignment="1" applyProtection="1">
      <alignment horizontal="center"/>
      <protection hidden="1"/>
    </xf>
    <xf numFmtId="0" fontId="61" fillId="14" borderId="155" xfId="0" applyFont="1" applyFill="1" applyBorder="1" applyAlignment="1" applyProtection="1">
      <alignment horizontal="center" vertical="center" wrapText="1"/>
      <protection hidden="1"/>
    </xf>
    <xf numFmtId="178" fontId="63" fillId="17" borderId="155" xfId="0" applyNumberFormat="1" applyFont="1" applyFill="1" applyBorder="1" applyAlignment="1" applyProtection="1">
      <alignment horizontal="center" vertical="top" wrapText="1"/>
      <protection hidden="1"/>
    </xf>
    <xf numFmtId="0" fontId="92" fillId="25" borderId="11" xfId="0" applyFont="1" applyFill="1" applyBorder="1" applyAlignment="1" applyProtection="1">
      <alignment vertical="center"/>
      <protection hidden="1"/>
    </xf>
    <xf numFmtId="0" fontId="92" fillId="25" borderId="0" xfId="0" applyFont="1" applyFill="1" applyBorder="1" applyAlignment="1" applyProtection="1">
      <alignment vertical="center"/>
      <protection hidden="1"/>
    </xf>
    <xf numFmtId="44" fontId="63" fillId="17" borderId="161" xfId="1" applyNumberFormat="1" applyFont="1" applyFill="1" applyBorder="1" applyAlignment="1" applyProtection="1">
      <alignment horizontal="center" vertical="top" wrapText="1"/>
      <protection hidden="1"/>
    </xf>
    <xf numFmtId="0" fontId="92" fillId="25" borderId="12" xfId="0" applyFont="1" applyFill="1" applyBorder="1" applyAlignment="1" applyProtection="1">
      <alignment vertical="center"/>
      <protection hidden="1"/>
    </xf>
    <xf numFmtId="189" fontId="102" fillId="28" borderId="12" xfId="2" applyNumberFormat="1" applyFont="1" applyFill="1" applyBorder="1" applyAlignment="1" applyProtection="1">
      <alignment horizontal="right"/>
      <protection hidden="1"/>
    </xf>
    <xf numFmtId="0" fontId="1" fillId="0" borderId="0" xfId="0" applyFont="1" applyAlignment="1" applyProtection="1">
      <protection hidden="1"/>
    </xf>
    <xf numFmtId="0" fontId="0" fillId="0" borderId="0" xfId="0" applyFill="1" applyAlignment="1" applyProtection="1">
      <protection hidden="1"/>
    </xf>
    <xf numFmtId="0" fontId="4" fillId="8" borderId="37" xfId="0" applyFont="1" applyFill="1" applyBorder="1" applyProtection="1">
      <protection locked="0"/>
    </xf>
    <xf numFmtId="0" fontId="0" fillId="8" borderId="37" xfId="0" applyFill="1" applyBorder="1" applyProtection="1">
      <protection locked="0"/>
    </xf>
    <xf numFmtId="0" fontId="0" fillId="8" borderId="150" xfId="0" applyFill="1" applyBorder="1" applyProtection="1">
      <protection locked="0"/>
    </xf>
    <xf numFmtId="0" fontId="0" fillId="8" borderId="7" xfId="0" applyFill="1" applyBorder="1" applyProtection="1">
      <protection locked="0"/>
    </xf>
    <xf numFmtId="14" fontId="0" fillId="8" borderId="8" xfId="0" applyNumberFormat="1" applyFill="1" applyBorder="1" applyProtection="1">
      <protection locked="0"/>
    </xf>
    <xf numFmtId="0" fontId="0" fillId="8" borderId="9" xfId="0" applyFill="1" applyBorder="1" applyProtection="1">
      <protection locked="0"/>
    </xf>
    <xf numFmtId="14" fontId="0" fillId="8" borderId="10" xfId="0" applyNumberFormat="1" applyFill="1" applyBorder="1" applyProtection="1">
      <protection locked="0"/>
    </xf>
    <xf numFmtId="187" fontId="0" fillId="8" borderId="0" xfId="0" applyNumberFormat="1" applyFill="1" applyBorder="1" applyAlignment="1" applyProtection="1">
      <alignment horizontal="center"/>
      <protection locked="0"/>
    </xf>
    <xf numFmtId="0" fontId="0" fillId="0" borderId="0" xfId="0" applyFill="1" applyBorder="1" applyAlignment="1" applyProtection="1">
      <alignment horizontal="center"/>
      <protection locked="0"/>
    </xf>
    <xf numFmtId="0" fontId="0" fillId="0" borderId="8" xfId="0" applyFill="1" applyBorder="1" applyAlignment="1" applyProtection="1">
      <alignment horizontal="center"/>
      <protection locked="0"/>
    </xf>
    <xf numFmtId="14" fontId="0" fillId="8" borderId="0" xfId="0" applyNumberFormat="1" applyFill="1" applyBorder="1" applyAlignment="1" applyProtection="1">
      <alignment horizontal="center" vertical="top"/>
      <protection locked="0"/>
    </xf>
    <xf numFmtId="1" fontId="0" fillId="8" borderId="0" xfId="0" applyNumberFormat="1" applyFill="1" applyBorder="1" applyAlignment="1" applyProtection="1">
      <alignment horizontal="center"/>
      <protection locked="0"/>
    </xf>
    <xf numFmtId="44" fontId="0" fillId="8" borderId="12" xfId="1" applyFont="1" applyFill="1" applyBorder="1" applyProtection="1">
      <protection locked="0"/>
    </xf>
    <xf numFmtId="184" fontId="0" fillId="8" borderId="11" xfId="0" applyNumberFormat="1" applyFill="1" applyBorder="1" applyAlignment="1" applyProtection="1">
      <alignment horizontal="center"/>
      <protection locked="0"/>
    </xf>
    <xf numFmtId="44" fontId="39" fillId="8" borderId="12" xfId="1" applyFont="1" applyFill="1" applyBorder="1" applyAlignment="1" applyProtection="1">
      <alignment horizontal="right"/>
      <protection locked="0"/>
    </xf>
    <xf numFmtId="14" fontId="8" fillId="0" borderId="0" xfId="0" applyNumberFormat="1" applyFont="1" applyFill="1" applyProtection="1">
      <protection hidden="1"/>
    </xf>
    <xf numFmtId="2" fontId="0" fillId="0" borderId="0" xfId="0" applyNumberFormat="1" applyFill="1" applyProtection="1">
      <protection hidden="1"/>
    </xf>
    <xf numFmtId="0" fontId="31" fillId="0" borderId="0" xfId="0" applyFont="1" applyFill="1" applyAlignment="1" applyProtection="1">
      <alignment horizontal="center"/>
      <protection hidden="1"/>
    </xf>
    <xf numFmtId="0" fontId="31" fillId="0" borderId="0" xfId="0" applyFont="1" applyFill="1" applyProtection="1">
      <protection hidden="1"/>
    </xf>
    <xf numFmtId="0" fontId="1" fillId="0" borderId="0" xfId="0" applyFont="1" applyFill="1" applyProtection="1">
      <protection hidden="1"/>
    </xf>
    <xf numFmtId="0" fontId="1" fillId="16" borderId="7" xfId="0" applyFont="1" applyFill="1" applyBorder="1" applyAlignment="1" applyProtection="1">
      <alignment horizontal="left"/>
      <protection hidden="1"/>
    </xf>
    <xf numFmtId="0" fontId="112" fillId="0" borderId="0" xfId="0" applyFont="1" applyBorder="1" applyAlignment="1" applyProtection="1">
      <alignment horizontal="center" vertical="center"/>
      <protection hidden="1"/>
    </xf>
    <xf numFmtId="0" fontId="112" fillId="0" borderId="8" xfId="0" applyFont="1" applyBorder="1" applyAlignment="1" applyProtection="1">
      <alignment vertical="center"/>
      <protection hidden="1"/>
    </xf>
    <xf numFmtId="44" fontId="3" fillId="8" borderId="0" xfId="1" applyFont="1" applyFill="1" applyBorder="1" applyAlignment="1" applyProtection="1">
      <alignment vertical="center"/>
      <protection locked="0"/>
    </xf>
    <xf numFmtId="44" fontId="3" fillId="8" borderId="8" xfId="1" applyFont="1" applyFill="1" applyBorder="1" applyAlignment="1" applyProtection="1">
      <alignment vertical="center"/>
      <protection locked="0"/>
    </xf>
    <xf numFmtId="44" fontId="39" fillId="0" borderId="0" xfId="1" applyFont="1" applyFill="1" applyBorder="1" applyAlignment="1" applyProtection="1">
      <alignment vertical="center"/>
      <protection hidden="1"/>
    </xf>
    <xf numFmtId="0" fontId="0" fillId="25" borderId="11" xfId="0" applyFill="1" applyBorder="1" applyProtection="1">
      <protection hidden="1"/>
    </xf>
    <xf numFmtId="0" fontId="0" fillId="25" borderId="12" xfId="0" applyFill="1" applyBorder="1" applyProtection="1">
      <protection hidden="1"/>
    </xf>
    <xf numFmtId="187" fontId="0" fillId="0" borderId="0" xfId="0" applyNumberFormat="1" applyFill="1" applyBorder="1" applyAlignment="1" applyProtection="1">
      <alignment horizontal="center"/>
      <protection locked="0"/>
    </xf>
    <xf numFmtId="187" fontId="39" fillId="0" borderId="8" xfId="0" applyNumberFormat="1" applyFont="1" applyFill="1" applyBorder="1" applyAlignment="1" applyProtection="1">
      <alignment horizontal="center"/>
      <protection locked="0"/>
    </xf>
    <xf numFmtId="0" fontId="27" fillId="0" borderId="0" xfId="0" applyFont="1" applyFill="1" applyAlignment="1" applyProtection="1">
      <protection hidden="1"/>
    </xf>
    <xf numFmtId="14" fontId="0" fillId="0" borderId="0" xfId="0" applyNumberFormat="1" applyBorder="1" applyAlignment="1" applyProtection="1">
      <alignment horizontal="center" vertical="top"/>
      <protection hidden="1"/>
    </xf>
    <xf numFmtId="0" fontId="115" fillId="0" borderId="7" xfId="0" applyFont="1" applyBorder="1" applyAlignment="1" applyProtection="1">
      <alignment horizontal="center" vertical="center"/>
      <protection hidden="1"/>
    </xf>
    <xf numFmtId="0" fontId="116" fillId="0" borderId="18" xfId="0" applyFont="1" applyBorder="1" applyAlignment="1" applyProtection="1">
      <alignment horizontal="right"/>
      <protection hidden="1"/>
    </xf>
    <xf numFmtId="185" fontId="116" fillId="0" borderId="18" xfId="0" applyNumberFormat="1" applyFont="1" applyBorder="1" applyAlignment="1" applyProtection="1">
      <alignment horizontal="right"/>
      <protection hidden="1"/>
    </xf>
    <xf numFmtId="0" fontId="116" fillId="0" borderId="150" xfId="0" applyFont="1" applyBorder="1" applyAlignment="1" applyProtection="1">
      <alignment horizontal="right"/>
      <protection hidden="1"/>
    </xf>
    <xf numFmtId="0" fontId="117" fillId="0" borderId="37" xfId="0" applyFont="1" applyBorder="1" applyProtection="1">
      <protection hidden="1"/>
    </xf>
    <xf numFmtId="0" fontId="117" fillId="0" borderId="150" xfId="0" applyFont="1" applyBorder="1" applyProtection="1">
      <protection hidden="1"/>
    </xf>
    <xf numFmtId="0" fontId="107" fillId="0" borderId="0" xfId="0" applyFont="1" applyBorder="1" applyProtection="1">
      <protection hidden="1"/>
    </xf>
    <xf numFmtId="190" fontId="0" fillId="25" borderId="0" xfId="0" applyNumberFormat="1" applyFill="1" applyProtection="1">
      <protection hidden="1"/>
    </xf>
    <xf numFmtId="0" fontId="121" fillId="26" borderId="0" xfId="0" applyFont="1" applyFill="1" applyAlignment="1" applyProtection="1">
      <alignment horizontal="center" vertical="center" wrapText="1"/>
      <protection hidden="1"/>
    </xf>
    <xf numFmtId="44" fontId="94" fillId="0" borderId="5" xfId="1" applyFont="1" applyFill="1" applyBorder="1" applyAlignment="1" applyProtection="1">
      <alignment horizontal="center" vertical="center" wrapText="1"/>
      <protection hidden="1"/>
    </xf>
    <xf numFmtId="0" fontId="0" fillId="0" borderId="0" xfId="0" applyBorder="1" applyAlignment="1" applyProtection="1">
      <alignment horizontal="center"/>
      <protection hidden="1"/>
    </xf>
    <xf numFmtId="9" fontId="85" fillId="18" borderId="19" xfId="2" applyFont="1" applyFill="1" applyBorder="1" applyAlignment="1" applyProtection="1">
      <alignment horizontal="left" vertical="center"/>
      <protection hidden="1"/>
    </xf>
    <xf numFmtId="171" fontId="85" fillId="18" borderId="19" xfId="1" applyNumberFormat="1" applyFont="1" applyFill="1" applyBorder="1" applyAlignment="1" applyProtection="1">
      <alignment horizontal="left" vertical="center"/>
      <protection hidden="1"/>
    </xf>
    <xf numFmtId="164" fontId="122" fillId="7" borderId="15" xfId="1" applyNumberFormat="1" applyFont="1" applyFill="1" applyBorder="1" applyAlignment="1" applyProtection="1">
      <alignment horizontal="center"/>
      <protection hidden="1"/>
    </xf>
    <xf numFmtId="164" fontId="35" fillId="7" borderId="15" xfId="0" applyNumberFormat="1" applyFont="1" applyFill="1" applyBorder="1" applyAlignment="1" applyProtection="1">
      <alignment vertical="center"/>
      <protection hidden="1"/>
    </xf>
    <xf numFmtId="164" fontId="35" fillId="7" borderId="121" xfId="0" applyNumberFormat="1" applyFont="1" applyFill="1" applyBorder="1" applyAlignment="1" applyProtection="1">
      <alignment vertical="center"/>
      <protection hidden="1"/>
    </xf>
    <xf numFmtId="44" fontId="38" fillId="0" borderId="0" xfId="0" applyNumberFormat="1" applyFont="1" applyProtection="1">
      <protection hidden="1"/>
    </xf>
    <xf numFmtId="2" fontId="23" fillId="0" borderId="0" xfId="0" applyNumberFormat="1" applyFont="1" applyProtection="1">
      <protection hidden="1"/>
    </xf>
    <xf numFmtId="178" fontId="63" fillId="18" borderId="123" xfId="0" applyNumberFormat="1" applyFont="1" applyFill="1" applyBorder="1" applyAlignment="1" applyProtection="1">
      <alignment horizontal="center" vertical="top" wrapText="1"/>
      <protection hidden="1"/>
    </xf>
    <xf numFmtId="181" fontId="63" fillId="18" borderId="123" xfId="0" applyNumberFormat="1" applyFont="1" applyFill="1" applyBorder="1" applyAlignment="1" applyProtection="1">
      <alignment vertical="top" wrapText="1"/>
      <protection hidden="1"/>
    </xf>
    <xf numFmtId="179" fontId="13" fillId="18" borderId="123" xfId="0" applyNumberFormat="1" applyFont="1" applyFill="1" applyBorder="1" applyAlignment="1" applyProtection="1">
      <alignment horizontal="center"/>
      <protection hidden="1"/>
    </xf>
    <xf numFmtId="180" fontId="13" fillId="18" borderId="123" xfId="0" applyNumberFormat="1" applyFont="1" applyFill="1" applyBorder="1" applyAlignment="1" applyProtection="1">
      <alignment horizontal="center"/>
      <protection hidden="1"/>
    </xf>
    <xf numFmtId="164" fontId="63" fillId="18" borderId="123" xfId="1" applyNumberFormat="1" applyFont="1" applyFill="1" applyBorder="1" applyAlignment="1" applyProtection="1">
      <alignment horizontal="center" vertical="top" wrapText="1"/>
      <protection hidden="1"/>
    </xf>
    <xf numFmtId="44" fontId="63" fillId="18" borderId="123" xfId="1" applyNumberFormat="1" applyFont="1" applyFill="1" applyBorder="1" applyAlignment="1" applyProtection="1">
      <alignment horizontal="center" vertical="top" wrapText="1"/>
      <protection hidden="1"/>
    </xf>
    <xf numFmtId="0" fontId="125" fillId="0" borderId="0" xfId="0" applyFont="1"/>
    <xf numFmtId="0" fontId="126" fillId="0" borderId="0" xfId="0" applyFont="1"/>
    <xf numFmtId="0" fontId="125" fillId="0" borderId="0" xfId="0" applyFont="1" applyAlignment="1">
      <alignment horizontal="left" vertical="top" wrapText="1"/>
    </xf>
    <xf numFmtId="0" fontId="127" fillId="0" borderId="0" xfId="0" applyFont="1" applyAlignment="1">
      <alignment horizontal="left" vertical="top" wrapText="1"/>
    </xf>
    <xf numFmtId="0" fontId="125" fillId="0" borderId="0" xfId="0" applyFont="1" applyAlignment="1">
      <alignment vertical="top" wrapText="1"/>
    </xf>
    <xf numFmtId="0" fontId="43" fillId="0" borderId="0" xfId="3" applyAlignment="1" applyProtection="1">
      <alignment vertical="top" wrapText="1"/>
    </xf>
    <xf numFmtId="0" fontId="21" fillId="7" borderId="120" xfId="0" applyFont="1" applyFill="1" applyBorder="1" applyAlignment="1" applyProtection="1">
      <alignment horizontal="right" vertical="center"/>
      <protection hidden="1"/>
    </xf>
    <xf numFmtId="0" fontId="21" fillId="7" borderId="19" xfId="0" applyFont="1" applyFill="1" applyBorder="1" applyAlignment="1" applyProtection="1">
      <alignment horizontal="right" vertical="center"/>
      <protection hidden="1"/>
    </xf>
    <xf numFmtId="0" fontId="21" fillId="7" borderId="17" xfId="0" applyFont="1" applyFill="1" applyBorder="1" applyAlignment="1" applyProtection="1">
      <alignment horizontal="right" vertical="center"/>
      <protection hidden="1"/>
    </xf>
    <xf numFmtId="0" fontId="24" fillId="7" borderId="79" xfId="0" applyFont="1" applyFill="1" applyBorder="1" applyAlignment="1" applyProtection="1">
      <alignment horizontal="center" vertical="center" wrapText="1" shrinkToFit="1"/>
      <protection hidden="1"/>
    </xf>
    <xf numFmtId="0" fontId="24" fillId="7" borderId="0" xfId="0" applyFont="1" applyFill="1" applyBorder="1" applyAlignment="1" applyProtection="1">
      <alignment horizontal="center" vertical="center" wrapText="1" shrinkToFit="1"/>
      <protection hidden="1"/>
    </xf>
    <xf numFmtId="0" fontId="24" fillId="7" borderId="80" xfId="0" applyFont="1" applyFill="1" applyBorder="1" applyAlignment="1" applyProtection="1">
      <alignment horizontal="center" vertical="center" wrapText="1" shrinkToFit="1"/>
      <protection hidden="1"/>
    </xf>
    <xf numFmtId="0" fontId="60" fillId="7" borderId="122" xfId="0" applyFont="1" applyFill="1" applyBorder="1" applyAlignment="1" applyProtection="1">
      <alignment horizontal="center" vertical="center" wrapText="1" shrinkToFit="1"/>
      <protection hidden="1"/>
    </xf>
    <xf numFmtId="0" fontId="60" fillId="7" borderId="82" xfId="0" applyFont="1" applyFill="1" applyBorder="1" applyAlignment="1" applyProtection="1">
      <alignment horizontal="center" vertical="center" wrapText="1" shrinkToFit="1"/>
      <protection hidden="1"/>
    </xf>
    <xf numFmtId="0" fontId="60" fillId="7" borderId="83" xfId="0" applyFont="1" applyFill="1" applyBorder="1" applyAlignment="1" applyProtection="1">
      <alignment horizontal="center" vertical="center" wrapText="1" shrinkToFit="1"/>
      <protection hidden="1"/>
    </xf>
    <xf numFmtId="0" fontId="77" fillId="7" borderId="106" xfId="0" applyFont="1" applyFill="1" applyBorder="1" applyAlignment="1" applyProtection="1">
      <alignment horizontal="center" vertical="center" wrapText="1"/>
      <protection hidden="1"/>
    </xf>
    <xf numFmtId="0" fontId="77" fillId="7" borderId="11" xfId="0" applyFont="1" applyFill="1" applyBorder="1" applyAlignment="1" applyProtection="1">
      <alignment horizontal="center" vertical="center" wrapText="1"/>
      <protection hidden="1"/>
    </xf>
    <xf numFmtId="0" fontId="77" fillId="7" borderId="104" xfId="0" applyFont="1" applyFill="1" applyBorder="1" applyAlignment="1" applyProtection="1">
      <alignment horizontal="center" vertical="center" wrapText="1"/>
      <protection hidden="1"/>
    </xf>
    <xf numFmtId="0" fontId="28" fillId="7" borderId="120" xfId="0" applyFont="1" applyFill="1" applyBorder="1" applyAlignment="1" applyProtection="1">
      <alignment horizontal="right" vertical="center"/>
      <protection hidden="1"/>
    </xf>
    <xf numFmtId="0" fontId="28" fillId="7" borderId="19" xfId="0" applyFont="1" applyFill="1" applyBorder="1" applyAlignment="1" applyProtection="1">
      <alignment horizontal="right" vertical="center"/>
      <protection hidden="1"/>
    </xf>
    <xf numFmtId="0" fontId="28" fillId="7" borderId="17" xfId="0" applyFont="1" applyFill="1" applyBorder="1" applyAlignment="1" applyProtection="1">
      <alignment horizontal="right" vertical="center"/>
      <protection hidden="1"/>
    </xf>
    <xf numFmtId="0" fontId="13" fillId="3" borderId="1" xfId="0" applyFont="1" applyFill="1" applyBorder="1" applyAlignment="1" applyProtection="1">
      <alignment horizontal="left" vertical="center"/>
      <protection locked="0"/>
    </xf>
    <xf numFmtId="0" fontId="13" fillId="3" borderId="75" xfId="0" applyFont="1" applyFill="1" applyBorder="1" applyAlignment="1" applyProtection="1">
      <alignment horizontal="left" vertical="center"/>
      <protection locked="0"/>
    </xf>
    <xf numFmtId="0" fontId="19" fillId="2" borderId="97" xfId="0" applyFont="1" applyFill="1" applyBorder="1" applyAlignment="1" applyProtection="1">
      <alignment horizontal="center"/>
      <protection hidden="1"/>
    </xf>
    <xf numFmtId="0" fontId="19" fillId="2" borderId="98" xfId="0" applyFont="1" applyFill="1" applyBorder="1" applyAlignment="1" applyProtection="1">
      <alignment horizontal="center"/>
      <protection hidden="1"/>
    </xf>
    <xf numFmtId="0" fontId="1" fillId="2" borderId="97" xfId="0" applyFont="1" applyFill="1" applyBorder="1" applyAlignment="1" applyProtection="1">
      <alignment horizontal="center"/>
      <protection hidden="1"/>
    </xf>
    <xf numFmtId="0" fontId="1" fillId="2" borderId="99" xfId="0" applyFont="1" applyFill="1" applyBorder="1" applyAlignment="1" applyProtection="1">
      <alignment horizontal="center"/>
      <protection hidden="1"/>
    </xf>
    <xf numFmtId="0" fontId="1" fillId="2" borderId="100" xfId="0" applyFont="1" applyFill="1" applyBorder="1" applyAlignment="1" applyProtection="1">
      <alignment horizontal="center"/>
      <protection hidden="1"/>
    </xf>
    <xf numFmtId="164" fontId="18" fillId="9" borderId="32" xfId="1" applyNumberFormat="1" applyFont="1" applyFill="1" applyBorder="1" applyAlignment="1" applyProtection="1">
      <alignment horizontal="center" vertical="center"/>
      <protection hidden="1"/>
    </xf>
    <xf numFmtId="164" fontId="18" fillId="9" borderId="5" xfId="1" applyNumberFormat="1" applyFont="1" applyFill="1" applyBorder="1" applyAlignment="1" applyProtection="1">
      <alignment horizontal="center" vertical="center"/>
      <protection hidden="1"/>
    </xf>
    <xf numFmtId="164" fontId="18" fillId="9" borderId="34" xfId="1" applyNumberFormat="1" applyFont="1" applyFill="1" applyBorder="1" applyAlignment="1" applyProtection="1">
      <alignment horizontal="center" vertical="center"/>
      <protection hidden="1"/>
    </xf>
    <xf numFmtId="164" fontId="18" fillId="9" borderId="35" xfId="1" applyNumberFormat="1" applyFont="1" applyFill="1" applyBorder="1" applyAlignment="1" applyProtection="1">
      <alignment horizontal="center" vertical="center"/>
      <protection hidden="1"/>
    </xf>
    <xf numFmtId="164" fontId="18" fillId="9" borderId="14" xfId="1" applyNumberFormat="1" applyFont="1" applyFill="1" applyBorder="1" applyAlignment="1" applyProtection="1">
      <alignment horizontal="center" vertical="center"/>
      <protection hidden="1"/>
    </xf>
    <xf numFmtId="164" fontId="18" fillId="9" borderId="28" xfId="1" applyNumberFormat="1" applyFont="1" applyFill="1" applyBorder="1" applyAlignment="1" applyProtection="1">
      <alignment horizontal="center" vertical="center"/>
      <protection hidden="1"/>
    </xf>
    <xf numFmtId="0" fontId="13" fillId="3" borderId="2" xfId="0" applyFont="1" applyFill="1" applyBorder="1" applyAlignment="1" applyProtection="1">
      <alignment horizontal="left" vertical="center"/>
      <protection locked="0"/>
    </xf>
    <xf numFmtId="168" fontId="13" fillId="0" borderId="1" xfId="0" applyNumberFormat="1" applyFont="1" applyFill="1" applyBorder="1" applyAlignment="1" applyProtection="1">
      <alignment horizontal="left" vertical="center"/>
      <protection locked="0"/>
    </xf>
    <xf numFmtId="168" fontId="13" fillId="0" borderId="8" xfId="0" applyNumberFormat="1" applyFont="1" applyFill="1" applyBorder="1" applyAlignment="1" applyProtection="1">
      <alignment horizontal="left" vertical="center"/>
      <protection locked="0"/>
    </xf>
    <xf numFmtId="0" fontId="13" fillId="0" borderId="82" xfId="0" applyFont="1" applyFill="1" applyBorder="1" applyAlignment="1" applyProtection="1">
      <alignment vertical="center"/>
      <protection locked="0"/>
    </xf>
    <xf numFmtId="0" fontId="13" fillId="0" borderId="83" xfId="0" applyFont="1" applyFill="1" applyBorder="1" applyAlignment="1" applyProtection="1">
      <alignment vertical="center"/>
      <protection locked="0"/>
    </xf>
    <xf numFmtId="0" fontId="25" fillId="0" borderId="84" xfId="0" applyFont="1" applyBorder="1" applyAlignment="1" applyProtection="1">
      <alignment horizontal="center"/>
      <protection hidden="1"/>
    </xf>
    <xf numFmtId="0" fontId="25" fillId="0" borderId="85" xfId="0" applyFont="1" applyBorder="1" applyAlignment="1" applyProtection="1">
      <alignment horizontal="center"/>
      <protection hidden="1"/>
    </xf>
    <xf numFmtId="0" fontId="26" fillId="0" borderId="86" xfId="0" applyFont="1" applyBorder="1" applyAlignment="1" applyProtection="1">
      <alignment horizontal="center"/>
      <protection hidden="1"/>
    </xf>
    <xf numFmtId="0" fontId="26" fillId="0" borderId="76" xfId="0" applyFont="1" applyBorder="1" applyAlignment="1" applyProtection="1">
      <alignment horizontal="center"/>
      <protection hidden="1"/>
    </xf>
    <xf numFmtId="0" fontId="2" fillId="3" borderId="30" xfId="0" applyFont="1" applyFill="1" applyBorder="1" applyAlignment="1" applyProtection="1">
      <alignment horizontal="center" vertical="center"/>
      <protection hidden="1"/>
    </xf>
    <xf numFmtId="0" fontId="2" fillId="3" borderId="31" xfId="0" applyFont="1" applyFill="1" applyBorder="1" applyAlignment="1" applyProtection="1">
      <alignment horizontal="center" vertical="center"/>
      <protection hidden="1"/>
    </xf>
    <xf numFmtId="0" fontId="1" fillId="3" borderId="92" xfId="0" applyFont="1" applyFill="1" applyBorder="1" applyAlignment="1" applyProtection="1">
      <alignment horizontal="left"/>
      <protection hidden="1"/>
    </xf>
    <xf numFmtId="0" fontId="1" fillId="3" borderId="86" xfId="0" applyFont="1" applyFill="1" applyBorder="1" applyAlignment="1" applyProtection="1">
      <alignment horizontal="left"/>
      <protection hidden="1"/>
    </xf>
    <xf numFmtId="0" fontId="55" fillId="2" borderId="62" xfId="0" applyFont="1" applyFill="1" applyBorder="1" applyAlignment="1" applyProtection="1">
      <alignment horizontal="center"/>
      <protection hidden="1"/>
    </xf>
    <xf numFmtId="0" fontId="55" fillId="2" borderId="0" xfId="0" applyFont="1" applyFill="1" applyBorder="1" applyAlignment="1" applyProtection="1">
      <alignment horizontal="center"/>
      <protection hidden="1"/>
    </xf>
    <xf numFmtId="0" fontId="55" fillId="2" borderId="49" xfId="0" applyFont="1" applyFill="1" applyBorder="1" applyAlignment="1" applyProtection="1">
      <alignment horizontal="center"/>
      <protection hidden="1"/>
    </xf>
    <xf numFmtId="0" fontId="0" fillId="0" borderId="0" xfId="0" applyBorder="1" applyAlignment="1" applyProtection="1">
      <alignment horizontal="left"/>
      <protection locked="0"/>
    </xf>
    <xf numFmtId="0" fontId="25" fillId="3" borderId="89" xfId="0" applyFont="1" applyFill="1" applyBorder="1" applyAlignment="1" applyProtection="1">
      <alignment horizontal="left"/>
      <protection hidden="1"/>
    </xf>
    <xf numFmtId="0" fontId="25" fillId="3" borderId="90" xfId="0" applyFont="1" applyFill="1" applyBorder="1" applyAlignment="1" applyProtection="1">
      <alignment horizontal="left"/>
      <protection hidden="1"/>
    </xf>
    <xf numFmtId="0" fontId="25" fillId="3" borderId="91" xfId="0" applyFont="1" applyFill="1" applyBorder="1" applyAlignment="1" applyProtection="1">
      <alignment horizontal="left"/>
      <protection hidden="1"/>
    </xf>
    <xf numFmtId="0" fontId="0" fillId="19" borderId="0" xfId="0" applyFill="1" applyBorder="1" applyAlignment="1" applyProtection="1">
      <alignment horizontal="center"/>
      <protection hidden="1"/>
    </xf>
    <xf numFmtId="0" fontId="2" fillId="0" borderId="68" xfId="0" applyFont="1" applyBorder="1" applyAlignment="1" applyProtection="1">
      <alignment horizontal="center" vertical="center" wrapText="1"/>
      <protection hidden="1"/>
    </xf>
    <xf numFmtId="0" fontId="2" fillId="0" borderId="46" xfId="0" applyFont="1" applyBorder="1" applyAlignment="1" applyProtection="1">
      <alignment horizontal="center" vertical="center" wrapText="1"/>
      <protection hidden="1"/>
    </xf>
    <xf numFmtId="0" fontId="2" fillId="0" borderId="69" xfId="0" applyFont="1" applyBorder="1" applyAlignment="1" applyProtection="1">
      <alignment horizontal="center" vertical="center" wrapText="1"/>
      <protection hidden="1"/>
    </xf>
    <xf numFmtId="0" fontId="2" fillId="0" borderId="71" xfId="0" applyFont="1" applyBorder="1" applyAlignment="1" applyProtection="1">
      <alignment horizontal="center" vertical="center" wrapText="1"/>
      <protection hidden="1"/>
    </xf>
    <xf numFmtId="0" fontId="2" fillId="0" borderId="4"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13" fillId="3" borderId="74" xfId="0" applyFont="1" applyFill="1" applyBorder="1" applyAlignment="1" applyProtection="1">
      <alignment horizontal="left" vertical="center"/>
      <protection locked="0"/>
    </xf>
    <xf numFmtId="0" fontId="13" fillId="0" borderId="0" xfId="0" applyFont="1" applyFill="1" applyBorder="1" applyAlignment="1" applyProtection="1">
      <alignment vertical="center"/>
      <protection locked="0"/>
    </xf>
    <xf numFmtId="0" fontId="25" fillId="0" borderId="0" xfId="0" applyFont="1" applyAlignment="1" applyProtection="1">
      <alignment horizontal="center"/>
      <protection hidden="1"/>
    </xf>
    <xf numFmtId="0" fontId="40" fillId="0" borderId="0" xfId="0" applyFont="1" applyAlignment="1" applyProtection="1">
      <alignment horizontal="center" vertical="center"/>
      <protection hidden="1"/>
    </xf>
    <xf numFmtId="0" fontId="4" fillId="0" borderId="0" xfId="0" applyFont="1" applyAlignment="1" applyProtection="1">
      <alignment horizontal="left"/>
      <protection hidden="1"/>
    </xf>
    <xf numFmtId="14" fontId="41" fillId="0" borderId="0" xfId="0" applyNumberFormat="1" applyFont="1" applyAlignment="1" applyProtection="1">
      <alignment horizontal="right"/>
      <protection hidden="1"/>
    </xf>
    <xf numFmtId="0" fontId="89" fillId="0" borderId="0" xfId="0" applyFont="1" applyAlignment="1" applyProtection="1">
      <alignment horizontal="center"/>
      <protection hidden="1"/>
    </xf>
    <xf numFmtId="0" fontId="90" fillId="0" borderId="0" xfId="0" applyFont="1" applyAlignment="1" applyProtection="1">
      <alignment horizontal="left" wrapText="1"/>
      <protection hidden="1"/>
    </xf>
    <xf numFmtId="0" fontId="90" fillId="0" borderId="0" xfId="0" applyFont="1" applyAlignment="1" applyProtection="1">
      <alignment horizontal="left"/>
      <protection hidden="1"/>
    </xf>
    <xf numFmtId="0" fontId="91" fillId="18" borderId="139" xfId="3" applyFont="1" applyFill="1" applyBorder="1" applyAlignment="1" applyProtection="1">
      <alignment horizontal="center" vertical="center"/>
      <protection hidden="1"/>
    </xf>
    <xf numFmtId="0" fontId="91" fillId="18" borderId="0" xfId="3" applyFont="1" applyFill="1" applyAlignment="1" applyProtection="1">
      <alignment horizontal="center" vertical="center"/>
      <protection hidden="1"/>
    </xf>
    <xf numFmtId="172" fontId="0" fillId="0" borderId="0" xfId="0" applyNumberFormat="1" applyAlignment="1" applyProtection="1">
      <alignment horizontal="center"/>
      <protection hidden="1"/>
    </xf>
    <xf numFmtId="0" fontId="37" fillId="0" borderId="0" xfId="0" applyFont="1" applyAlignment="1" applyProtection="1">
      <alignment horizontal="center" vertical="center" wrapText="1"/>
      <protection hidden="1"/>
    </xf>
    <xf numFmtId="9" fontId="7" fillId="4" borderId="24" xfId="2" applyFont="1" applyFill="1" applyBorder="1" applyAlignment="1" applyProtection="1">
      <alignment horizontal="center" vertical="center" wrapText="1"/>
      <protection hidden="1"/>
    </xf>
    <xf numFmtId="9" fontId="7" fillId="4" borderId="27" xfId="2" applyFont="1" applyFill="1" applyBorder="1" applyAlignment="1" applyProtection="1">
      <alignment horizontal="center" vertical="center" wrapText="1"/>
      <protection hidden="1"/>
    </xf>
    <xf numFmtId="165" fontId="7" fillId="11" borderId="23" xfId="2" applyNumberFormat="1" applyFont="1" applyFill="1" applyBorder="1" applyAlignment="1" applyProtection="1">
      <alignment horizontal="center" vertical="center" wrapText="1"/>
      <protection hidden="1"/>
    </xf>
    <xf numFmtId="165" fontId="7" fillId="12" borderId="23" xfId="2" applyNumberFormat="1" applyFont="1" applyFill="1" applyBorder="1" applyAlignment="1" applyProtection="1">
      <alignment horizontal="center" vertical="center" wrapText="1"/>
      <protection hidden="1"/>
    </xf>
    <xf numFmtId="165" fontId="7" fillId="12" borderId="27" xfId="2" applyNumberFormat="1" applyFont="1" applyFill="1" applyBorder="1" applyAlignment="1" applyProtection="1">
      <alignment horizontal="center" vertical="center" wrapText="1"/>
      <protection hidden="1"/>
    </xf>
    <xf numFmtId="165" fontId="7" fillId="6" borderId="24" xfId="2" applyNumberFormat="1" applyFont="1" applyFill="1" applyBorder="1" applyAlignment="1" applyProtection="1">
      <alignment horizontal="center" vertical="center" wrapText="1"/>
      <protection hidden="1"/>
    </xf>
    <xf numFmtId="165" fontId="7" fillId="6" borderId="27" xfId="2" applyNumberFormat="1" applyFont="1" applyFill="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22" fillId="0" borderId="127" xfId="0" applyFont="1" applyBorder="1" applyAlignment="1" applyProtection="1">
      <alignment horizontal="center" vertical="center"/>
      <protection hidden="1"/>
    </xf>
    <xf numFmtId="0" fontId="22" fillId="0" borderId="128" xfId="0" applyFont="1" applyBorder="1" applyAlignment="1" applyProtection="1">
      <alignment horizontal="center" vertical="center"/>
      <protection hidden="1"/>
    </xf>
    <xf numFmtId="0" fontId="22" fillId="0" borderId="129" xfId="0" applyFont="1" applyBorder="1" applyAlignment="1" applyProtection="1">
      <alignment horizontal="center" vertical="center"/>
      <protection hidden="1"/>
    </xf>
    <xf numFmtId="0" fontId="0" fillId="7" borderId="12" xfId="0" applyFill="1" applyBorder="1" applyAlignment="1" applyProtection="1">
      <alignment horizontal="center"/>
      <protection hidden="1"/>
    </xf>
    <xf numFmtId="0" fontId="0" fillId="7" borderId="115" xfId="0" applyFill="1" applyBorder="1" applyAlignment="1" applyProtection="1">
      <alignment horizontal="center"/>
      <protection hidden="1"/>
    </xf>
    <xf numFmtId="0" fontId="31" fillId="0" borderId="0" xfId="0" applyFont="1" applyAlignment="1" applyProtection="1">
      <alignment vertical="justify" wrapText="1"/>
      <protection hidden="1"/>
    </xf>
    <xf numFmtId="165" fontId="7" fillId="5" borderId="24" xfId="2" applyNumberFormat="1" applyFont="1" applyFill="1" applyBorder="1" applyAlignment="1" applyProtection="1">
      <alignment horizontal="center" vertical="center" wrapText="1"/>
      <protection hidden="1"/>
    </xf>
    <xf numFmtId="165" fontId="7" fillId="5" borderId="27" xfId="2" applyNumberFormat="1" applyFont="1" applyFill="1" applyBorder="1" applyAlignment="1" applyProtection="1">
      <alignment horizontal="center" vertical="center" wrapText="1"/>
      <protection hidden="1"/>
    </xf>
    <xf numFmtId="164" fontId="18" fillId="9" borderId="104" xfId="1" applyNumberFormat="1" applyFont="1" applyFill="1" applyBorder="1" applyAlignment="1" applyProtection="1">
      <alignment horizontal="center" vertical="center"/>
      <protection hidden="1"/>
    </xf>
    <xf numFmtId="164" fontId="18" fillId="9" borderId="80" xfId="1" applyNumberFormat="1" applyFont="1" applyFill="1" applyBorder="1" applyAlignment="1" applyProtection="1">
      <alignment horizontal="center" vertical="center"/>
      <protection hidden="1"/>
    </xf>
    <xf numFmtId="0" fontId="1" fillId="0" borderId="7" xfId="0" applyFont="1" applyBorder="1" applyAlignment="1" applyProtection="1">
      <alignment horizontal="center"/>
      <protection hidden="1"/>
    </xf>
    <xf numFmtId="0" fontId="1" fillId="0" borderId="0" xfId="0" applyFont="1" applyBorder="1" applyAlignment="1" applyProtection="1">
      <alignment horizontal="center"/>
      <protection hidden="1"/>
    </xf>
    <xf numFmtId="0" fontId="1" fillId="0" borderId="8" xfId="0" applyFont="1" applyBorder="1" applyAlignment="1" applyProtection="1">
      <alignment horizontal="center"/>
      <protection hidden="1"/>
    </xf>
    <xf numFmtId="0" fontId="76" fillId="0" borderId="0" xfId="0" applyFont="1" applyBorder="1" applyAlignment="1" applyProtection="1">
      <alignment horizontal="center" vertical="center" wrapText="1"/>
      <protection hidden="1"/>
    </xf>
    <xf numFmtId="0" fontId="76" fillId="0" borderId="8" xfId="0" applyFont="1" applyBorder="1" applyAlignment="1" applyProtection="1">
      <alignment horizontal="center" vertical="center" wrapText="1"/>
      <protection hidden="1"/>
    </xf>
    <xf numFmtId="0" fontId="0" fillId="0" borderId="0" xfId="0" applyAlignment="1" applyProtection="1">
      <alignment horizontal="center"/>
      <protection hidden="1"/>
    </xf>
    <xf numFmtId="0" fontId="0" fillId="0" borderId="7" xfId="0" applyBorder="1" applyAlignment="1" applyProtection="1">
      <alignment horizontal="center"/>
      <protection hidden="1"/>
    </xf>
    <xf numFmtId="0" fontId="25" fillId="0" borderId="7" xfId="0" applyFont="1" applyBorder="1" applyAlignment="1" applyProtection="1">
      <alignment horizontal="left"/>
      <protection hidden="1"/>
    </xf>
    <xf numFmtId="0" fontId="25" fillId="0" borderId="0" xfId="0" applyFont="1" applyBorder="1" applyAlignment="1" applyProtection="1">
      <alignment horizontal="left"/>
      <protection hidden="1"/>
    </xf>
    <xf numFmtId="0" fontId="25" fillId="0" borderId="8" xfId="0" applyFont="1" applyBorder="1" applyAlignment="1" applyProtection="1">
      <alignment horizontal="left"/>
      <protection hidden="1"/>
    </xf>
    <xf numFmtId="0" fontId="1" fillId="0" borderId="0" xfId="0" applyFont="1" applyBorder="1" applyAlignment="1" applyProtection="1">
      <alignment horizontal="left"/>
      <protection hidden="1"/>
    </xf>
    <xf numFmtId="0" fontId="4" fillId="0" borderId="0" xfId="0" applyFont="1" applyBorder="1" applyAlignment="1" applyProtection="1">
      <alignment horizontal="right"/>
      <protection hidden="1"/>
    </xf>
    <xf numFmtId="0" fontId="1" fillId="0" borderId="7" xfId="0" applyFont="1" applyBorder="1" applyAlignment="1" applyProtection="1">
      <alignment horizontal="left"/>
      <protection hidden="1"/>
    </xf>
    <xf numFmtId="0" fontId="72" fillId="0" borderId="7" xfId="0" applyFont="1" applyBorder="1" applyAlignment="1" applyProtection="1">
      <alignment horizontal="center" vertical="center"/>
      <protection hidden="1"/>
    </xf>
    <xf numFmtId="0" fontId="72" fillId="0" borderId="0" xfId="0" applyFont="1" applyBorder="1" applyAlignment="1" applyProtection="1">
      <alignment horizontal="center" vertical="center"/>
      <protection hidden="1"/>
    </xf>
    <xf numFmtId="0" fontId="68" fillId="0" borderId="0" xfId="0" applyFont="1" applyBorder="1" applyAlignment="1" applyProtection="1">
      <alignment horizontal="center"/>
      <protection hidden="1"/>
    </xf>
    <xf numFmtId="0" fontId="70" fillId="0" borderId="0" xfId="0" applyFont="1" applyBorder="1" applyAlignment="1" applyProtection="1">
      <alignment horizontal="center"/>
      <protection hidden="1"/>
    </xf>
    <xf numFmtId="0" fontId="70" fillId="0" borderId="8" xfId="0" applyFont="1" applyBorder="1" applyAlignment="1" applyProtection="1">
      <alignment horizontal="center"/>
      <protection hidden="1"/>
    </xf>
    <xf numFmtId="0" fontId="0" fillId="0" borderId="0" xfId="0" applyBorder="1" applyAlignment="1" applyProtection="1">
      <alignment horizontal="center"/>
      <protection hidden="1"/>
    </xf>
    <xf numFmtId="0" fontId="0" fillId="0" borderId="8" xfId="0" applyBorder="1" applyAlignment="1" applyProtection="1">
      <alignment horizontal="center"/>
      <protection hidden="1"/>
    </xf>
    <xf numFmtId="0" fontId="72" fillId="0" borderId="7" xfId="0" applyFont="1" applyBorder="1" applyAlignment="1" applyProtection="1">
      <alignment horizontal="center"/>
      <protection hidden="1"/>
    </xf>
    <xf numFmtId="0" fontId="72" fillId="0" borderId="0" xfId="0" applyFont="1" applyBorder="1" applyAlignment="1" applyProtection="1">
      <alignment horizontal="center"/>
      <protection hidden="1"/>
    </xf>
    <xf numFmtId="0" fontId="71" fillId="14" borderId="124" xfId="0" applyFont="1" applyFill="1" applyBorder="1" applyAlignment="1" applyProtection="1">
      <alignment horizontal="center" vertical="center" wrapText="1"/>
      <protection hidden="1"/>
    </xf>
    <xf numFmtId="0" fontId="71" fillId="14" borderId="125" xfId="0" applyFont="1" applyFill="1" applyBorder="1" applyAlignment="1" applyProtection="1">
      <alignment horizontal="center" vertical="center" wrapText="1"/>
      <protection hidden="1"/>
    </xf>
    <xf numFmtId="0" fontId="0" fillId="0" borderId="0" xfId="0" applyAlignment="1" applyProtection="1">
      <alignment horizontal="left"/>
      <protection hidden="1"/>
    </xf>
    <xf numFmtId="174" fontId="0" fillId="8" borderId="12" xfId="0" applyNumberFormat="1" applyFill="1" applyBorder="1" applyAlignment="1" applyProtection="1">
      <alignment horizontal="center"/>
      <protection locked="0"/>
    </xf>
    <xf numFmtId="174" fontId="0" fillId="8" borderId="10" xfId="0" applyNumberFormat="1" applyFill="1" applyBorder="1" applyAlignment="1" applyProtection="1">
      <alignment horizontal="center"/>
      <protection locked="0"/>
    </xf>
    <xf numFmtId="174" fontId="0" fillId="8" borderId="0" xfId="0" applyNumberFormat="1" applyFill="1" applyBorder="1" applyAlignment="1" applyProtection="1">
      <alignment horizontal="center"/>
      <protection locked="0"/>
    </xf>
    <xf numFmtId="174" fontId="0" fillId="8" borderId="8" xfId="0" applyNumberFormat="1" applyFill="1" applyBorder="1" applyAlignment="1" applyProtection="1">
      <alignment horizontal="center"/>
      <protection locked="0"/>
    </xf>
    <xf numFmtId="0" fontId="0" fillId="8" borderId="0" xfId="0" applyFill="1" applyBorder="1" applyAlignment="1" applyProtection="1">
      <alignment horizontal="center"/>
      <protection locked="0"/>
    </xf>
    <xf numFmtId="0" fontId="0" fillId="8" borderId="8" xfId="0" applyFill="1" applyBorder="1" applyAlignment="1" applyProtection="1">
      <alignment horizontal="center"/>
      <protection locked="0"/>
    </xf>
    <xf numFmtId="175" fontId="0" fillId="8" borderId="0" xfId="0" applyNumberFormat="1" applyFill="1" applyBorder="1" applyAlignment="1" applyProtection="1">
      <alignment horizontal="center"/>
      <protection locked="0"/>
    </xf>
    <xf numFmtId="175" fontId="0" fillId="8" borderId="8" xfId="0" applyNumberFormat="1" applyFill="1" applyBorder="1" applyAlignment="1" applyProtection="1">
      <alignment horizontal="center"/>
      <protection locked="0"/>
    </xf>
    <xf numFmtId="0" fontId="27" fillId="0" borderId="12" xfId="0" applyFont="1" applyBorder="1" applyAlignment="1" applyProtection="1">
      <alignment horizontal="center"/>
      <protection hidden="1"/>
    </xf>
    <xf numFmtId="0" fontId="27" fillId="0" borderId="10" xfId="0" applyFont="1" applyBorder="1" applyAlignment="1" applyProtection="1">
      <alignment horizontal="center"/>
      <protection hidden="1"/>
    </xf>
    <xf numFmtId="176" fontId="63" fillId="17" borderId="124" xfId="0" applyNumberFormat="1" applyFont="1" applyFill="1" applyBorder="1" applyAlignment="1" applyProtection="1">
      <alignment horizontal="left" vertical="top" wrapText="1"/>
      <protection hidden="1"/>
    </xf>
    <xf numFmtId="176" fontId="63" fillId="17" borderId="125" xfId="0" applyNumberFormat="1" applyFont="1" applyFill="1" applyBorder="1" applyAlignment="1" applyProtection="1">
      <alignment horizontal="left" vertical="top" wrapText="1"/>
      <protection hidden="1"/>
    </xf>
    <xf numFmtId="0" fontId="61" fillId="14" borderId="124" xfId="0" applyFont="1" applyFill="1" applyBorder="1" applyAlignment="1" applyProtection="1">
      <alignment horizontal="center" vertical="center" wrapText="1"/>
      <protection hidden="1"/>
    </xf>
    <xf numFmtId="0" fontId="61" fillId="14" borderId="125" xfId="0" applyFont="1" applyFill="1" applyBorder="1" applyAlignment="1" applyProtection="1">
      <alignment horizontal="center" vertical="center" wrapText="1"/>
      <protection hidden="1"/>
    </xf>
    <xf numFmtId="0" fontId="4" fillId="0" borderId="0" xfId="0" applyFont="1" applyAlignment="1" applyProtection="1">
      <alignment horizontal="right"/>
      <protection hidden="1"/>
    </xf>
    <xf numFmtId="0" fontId="58" fillId="13" borderId="6" xfId="0" applyFont="1" applyFill="1" applyBorder="1" applyAlignment="1" applyProtection="1">
      <alignment horizontal="center" vertical="center"/>
      <protection hidden="1"/>
    </xf>
    <xf numFmtId="0" fontId="58" fillId="13" borderId="11" xfId="0" applyFont="1" applyFill="1" applyBorder="1" applyAlignment="1" applyProtection="1">
      <alignment horizontal="center" vertical="center"/>
      <protection hidden="1"/>
    </xf>
    <xf numFmtId="0" fontId="58" fillId="13" borderId="9" xfId="0" applyFont="1" applyFill="1" applyBorder="1" applyAlignment="1" applyProtection="1">
      <alignment horizontal="center" vertical="center"/>
      <protection hidden="1"/>
    </xf>
    <xf numFmtId="0" fontId="58" fillId="13" borderId="12" xfId="0" applyFont="1" applyFill="1" applyBorder="1" applyAlignment="1" applyProtection="1">
      <alignment horizontal="center" vertical="center"/>
      <protection hidden="1"/>
    </xf>
    <xf numFmtId="177" fontId="63" fillId="17" borderId="123" xfId="0" applyNumberFormat="1" applyFont="1" applyFill="1" applyBorder="1" applyAlignment="1" applyProtection="1">
      <alignment horizontal="left" vertical="top" wrapText="1"/>
      <protection hidden="1"/>
    </xf>
    <xf numFmtId="174" fontId="63" fillId="17" borderId="124" xfId="0" applyNumberFormat="1" applyFont="1" applyFill="1" applyBorder="1" applyAlignment="1" applyProtection="1">
      <alignment horizontal="left" vertical="top" wrapText="1"/>
      <protection hidden="1"/>
    </xf>
    <xf numFmtId="174" fontId="63" fillId="17" borderId="125" xfId="0" applyNumberFormat="1" applyFont="1" applyFill="1" applyBorder="1" applyAlignment="1" applyProtection="1">
      <alignment horizontal="left" vertical="top" wrapText="1"/>
      <protection hidden="1"/>
    </xf>
    <xf numFmtId="0" fontId="43" fillId="0" borderId="0" xfId="3" applyBorder="1" applyAlignment="1" applyProtection="1">
      <alignment horizontal="center"/>
      <protection hidden="1"/>
    </xf>
    <xf numFmtId="0" fontId="22" fillId="8" borderId="0" xfId="0" applyFont="1" applyFill="1" applyBorder="1" applyAlignment="1" applyProtection="1">
      <alignment horizontal="center"/>
      <protection locked="0"/>
    </xf>
    <xf numFmtId="164" fontId="59" fillId="10" borderId="11" xfId="1" applyNumberFormat="1" applyFont="1" applyFill="1" applyBorder="1" applyAlignment="1" applyProtection="1">
      <alignment horizontal="center" vertical="center"/>
      <protection hidden="1"/>
    </xf>
    <xf numFmtId="164" fontId="59" fillId="10" borderId="25" xfId="1" applyNumberFormat="1" applyFont="1" applyFill="1" applyBorder="1" applyAlignment="1" applyProtection="1">
      <alignment horizontal="center" vertical="center"/>
      <protection hidden="1"/>
    </xf>
    <xf numFmtId="164" fontId="59" fillId="10" borderId="12" xfId="1" applyNumberFormat="1" applyFont="1" applyFill="1" applyBorder="1" applyAlignment="1" applyProtection="1">
      <alignment horizontal="center" vertical="center"/>
      <protection hidden="1"/>
    </xf>
    <xf numFmtId="164" fontId="59" fillId="10" borderId="10" xfId="1" applyNumberFormat="1" applyFont="1" applyFill="1" applyBorder="1" applyAlignment="1" applyProtection="1">
      <alignment horizontal="center" vertical="center"/>
      <protection hidden="1"/>
    </xf>
    <xf numFmtId="0" fontId="27" fillId="0" borderId="0" xfId="0" applyFont="1" applyBorder="1" applyAlignment="1" applyProtection="1">
      <alignment horizontal="center"/>
      <protection hidden="1"/>
    </xf>
    <xf numFmtId="0" fontId="27" fillId="0" borderId="8" xfId="0" applyFont="1" applyBorder="1" applyAlignment="1" applyProtection="1">
      <alignment horizontal="center"/>
      <protection hidden="1"/>
    </xf>
    <xf numFmtId="0" fontId="81" fillId="0" borderId="11" xfId="0" applyFont="1" applyBorder="1" applyAlignment="1" applyProtection="1">
      <alignment horizontal="center" vertical="center" wrapText="1"/>
      <protection hidden="1"/>
    </xf>
    <xf numFmtId="0" fontId="81" fillId="0" borderId="0" xfId="0" applyFont="1" applyBorder="1" applyAlignment="1" applyProtection="1">
      <alignment horizontal="center" vertical="center" wrapText="1"/>
      <protection hidden="1"/>
    </xf>
    <xf numFmtId="0" fontId="83" fillId="0" borderId="149" xfId="0" applyFont="1" applyBorder="1" applyAlignment="1" applyProtection="1">
      <alignment horizontal="center"/>
      <protection hidden="1"/>
    </xf>
    <xf numFmtId="0" fontId="92" fillId="0" borderId="0" xfId="0" applyFont="1" applyAlignment="1" applyProtection="1">
      <alignment horizontal="center" vertical="center"/>
      <protection hidden="1"/>
    </xf>
    <xf numFmtId="0" fontId="43" fillId="0" borderId="8" xfId="3" applyBorder="1" applyAlignment="1" applyProtection="1">
      <alignment horizontal="center"/>
      <protection hidden="1"/>
    </xf>
    <xf numFmtId="0" fontId="1" fillId="16" borderId="7" xfId="0" applyFont="1" applyFill="1" applyBorder="1" applyAlignment="1" applyProtection="1">
      <alignment horizontal="left"/>
      <protection hidden="1"/>
    </xf>
    <xf numFmtId="0" fontId="1" fillId="16" borderId="0" xfId="0" applyFont="1" applyFill="1" applyBorder="1" applyAlignment="1" applyProtection="1">
      <alignment horizontal="left"/>
      <protection hidden="1"/>
    </xf>
    <xf numFmtId="0" fontId="1" fillId="16" borderId="9" xfId="0" applyFont="1" applyFill="1" applyBorder="1" applyAlignment="1" applyProtection="1">
      <alignment horizontal="left"/>
      <protection hidden="1"/>
    </xf>
    <xf numFmtId="0" fontId="1" fillId="16" borderId="12" xfId="0" applyFont="1" applyFill="1" applyBorder="1" applyAlignment="1" applyProtection="1">
      <alignment horizontal="left"/>
      <protection hidden="1"/>
    </xf>
    <xf numFmtId="0" fontId="62" fillId="16" borderId="6" xfId="0" applyFont="1" applyFill="1" applyBorder="1" applyAlignment="1" applyProtection="1">
      <alignment horizontal="center"/>
      <protection hidden="1"/>
    </xf>
    <xf numFmtId="0" fontId="62" fillId="16" borderId="11" xfId="0" applyFont="1" applyFill="1" applyBorder="1" applyAlignment="1" applyProtection="1">
      <alignment horizontal="center"/>
      <protection hidden="1"/>
    </xf>
    <xf numFmtId="0" fontId="62" fillId="16" borderId="25" xfId="0" applyFont="1" applyFill="1" applyBorder="1" applyAlignment="1" applyProtection="1">
      <alignment horizontal="center"/>
      <protection hidden="1"/>
    </xf>
    <xf numFmtId="0" fontId="22" fillId="0" borderId="136" xfId="0" applyFont="1" applyBorder="1" applyAlignment="1" applyProtection="1">
      <alignment horizontal="left"/>
      <protection hidden="1"/>
    </xf>
    <xf numFmtId="0" fontId="0" fillId="0" borderId="137" xfId="0" applyBorder="1" applyAlignment="1" applyProtection="1">
      <alignment horizontal="center"/>
      <protection hidden="1"/>
    </xf>
    <xf numFmtId="0" fontId="67" fillId="0" borderId="0" xfId="3" applyFont="1" applyAlignment="1" applyProtection="1">
      <alignment horizontal="left" vertical="center"/>
      <protection hidden="1"/>
    </xf>
    <xf numFmtId="0" fontId="64" fillId="15" borderId="16" xfId="0" applyFont="1" applyFill="1" applyBorder="1" applyAlignment="1" applyProtection="1">
      <alignment horizontal="center" vertical="center"/>
      <protection hidden="1"/>
    </xf>
    <xf numFmtId="0" fontId="64" fillId="15" borderId="19" xfId="0" applyFont="1" applyFill="1" applyBorder="1" applyAlignment="1" applyProtection="1">
      <alignment horizontal="center" vertical="center"/>
      <protection hidden="1"/>
    </xf>
    <xf numFmtId="0" fontId="64" fillId="15" borderId="17" xfId="0" applyFont="1" applyFill="1" applyBorder="1" applyAlignment="1" applyProtection="1">
      <alignment horizontal="center" vertical="center"/>
      <protection hidden="1"/>
    </xf>
    <xf numFmtId="168" fontId="65" fillId="18" borderId="11" xfId="3" applyNumberFormat="1" applyFont="1" applyFill="1" applyBorder="1" applyAlignment="1" applyProtection="1">
      <alignment horizontal="center"/>
      <protection hidden="1"/>
    </xf>
    <xf numFmtId="168" fontId="65" fillId="18" borderId="19" xfId="3" applyNumberFormat="1" applyFont="1" applyFill="1" applyBorder="1" applyAlignment="1" applyProtection="1">
      <alignment horizontal="center"/>
      <protection hidden="1"/>
    </xf>
    <xf numFmtId="0" fontId="0" fillId="8" borderId="0" xfId="0" applyFill="1" applyBorder="1" applyAlignment="1" applyProtection="1">
      <protection locked="0"/>
    </xf>
    <xf numFmtId="0" fontId="0" fillId="8" borderId="8" xfId="0" applyFill="1" applyBorder="1" applyAlignment="1" applyProtection="1">
      <protection locked="0"/>
    </xf>
    <xf numFmtId="0" fontId="0" fillId="0" borderId="0" xfId="0" applyBorder="1" applyAlignment="1" applyProtection="1">
      <alignment horizontal="left"/>
      <protection hidden="1"/>
    </xf>
    <xf numFmtId="0" fontId="0" fillId="0" borderId="8" xfId="0" applyBorder="1" applyAlignment="1" applyProtection="1">
      <alignment horizontal="left"/>
      <protection hidden="1"/>
    </xf>
    <xf numFmtId="0" fontId="96" fillId="24" borderId="19" xfId="0" applyFont="1" applyFill="1" applyBorder="1" applyAlignment="1" applyProtection="1">
      <alignment horizontal="left"/>
      <protection hidden="1"/>
    </xf>
    <xf numFmtId="0" fontId="0" fillId="8" borderId="0" xfId="0" applyFill="1" applyBorder="1" applyAlignment="1" applyProtection="1">
      <alignment horizontal="left"/>
      <protection locked="0"/>
    </xf>
    <xf numFmtId="0" fontId="0" fillId="8" borderId="8" xfId="0" applyFill="1" applyBorder="1" applyAlignment="1" applyProtection="1">
      <alignment horizontal="left"/>
      <protection locked="0"/>
    </xf>
    <xf numFmtId="0" fontId="0" fillId="0" borderId="0" xfId="0" applyFill="1" applyAlignment="1" applyProtection="1">
      <alignment horizontal="center"/>
      <protection hidden="1"/>
    </xf>
    <xf numFmtId="0" fontId="0" fillId="0" borderId="19" xfId="0" applyBorder="1" applyAlignment="1" applyProtection="1">
      <alignment horizontal="center"/>
      <protection hidden="1"/>
    </xf>
    <xf numFmtId="0" fontId="0" fillId="0" borderId="17" xfId="0" applyBorder="1" applyAlignment="1" applyProtection="1">
      <alignment horizontal="center"/>
      <protection hidden="1"/>
    </xf>
    <xf numFmtId="0" fontId="16" fillId="4" borderId="16" xfId="0" applyFont="1" applyFill="1" applyBorder="1" applyAlignment="1" applyProtection="1">
      <alignment horizontal="center"/>
      <protection hidden="1"/>
    </xf>
    <xf numFmtId="0" fontId="16" fillId="4" borderId="19" xfId="0" applyFont="1" applyFill="1" applyBorder="1" applyAlignment="1" applyProtection="1">
      <alignment horizontal="center"/>
      <protection hidden="1"/>
    </xf>
    <xf numFmtId="0" fontId="16" fillId="4" borderId="17" xfId="0" applyFont="1" applyFill="1" applyBorder="1" applyAlignment="1" applyProtection="1">
      <alignment horizontal="center"/>
      <protection hidden="1"/>
    </xf>
    <xf numFmtId="0" fontId="105" fillId="10" borderId="0" xfId="3" applyFont="1" applyFill="1" applyBorder="1" applyAlignment="1" applyProtection="1">
      <alignment horizontal="center" vertical="center" wrapText="1"/>
      <protection hidden="1"/>
    </xf>
    <xf numFmtId="0" fontId="105" fillId="10" borderId="8" xfId="3" applyFont="1" applyFill="1" applyBorder="1" applyAlignment="1" applyProtection="1">
      <alignment horizontal="center" vertical="center"/>
      <protection hidden="1"/>
    </xf>
    <xf numFmtId="0" fontId="105" fillId="10" borderId="12" xfId="3" applyFont="1" applyFill="1" applyBorder="1" applyAlignment="1" applyProtection="1">
      <alignment horizontal="center" vertical="center"/>
      <protection hidden="1"/>
    </xf>
    <xf numFmtId="0" fontId="105" fillId="10" borderId="10" xfId="3" applyFont="1" applyFill="1" applyBorder="1" applyAlignment="1" applyProtection="1">
      <alignment horizontal="center" vertical="center"/>
      <protection hidden="1"/>
    </xf>
    <xf numFmtId="0" fontId="107" fillId="23" borderId="16" xfId="0" applyFont="1" applyFill="1" applyBorder="1" applyAlignment="1" applyProtection="1">
      <alignment horizontal="left" vertical="justify" wrapText="1"/>
      <protection hidden="1"/>
    </xf>
    <xf numFmtId="0" fontId="107" fillId="23" borderId="19" xfId="0" applyFont="1" applyFill="1" applyBorder="1" applyAlignment="1" applyProtection="1">
      <alignment horizontal="left" vertical="justify" wrapText="1"/>
      <protection hidden="1"/>
    </xf>
    <xf numFmtId="0" fontId="107" fillId="23" borderId="17" xfId="0" applyFont="1" applyFill="1" applyBorder="1" applyAlignment="1" applyProtection="1">
      <alignment horizontal="left" vertical="justify" wrapText="1"/>
      <protection hidden="1"/>
    </xf>
    <xf numFmtId="188" fontId="24" fillId="0" borderId="0" xfId="0" applyNumberFormat="1" applyFont="1" applyBorder="1" applyAlignment="1" applyProtection="1">
      <alignment horizontal="right"/>
      <protection hidden="1"/>
    </xf>
    <xf numFmtId="188" fontId="24" fillId="0" borderId="8" xfId="0" applyNumberFormat="1" applyFont="1" applyBorder="1" applyAlignment="1" applyProtection="1">
      <alignment horizontal="right"/>
      <protection hidden="1"/>
    </xf>
    <xf numFmtId="188" fontId="102" fillId="28" borderId="12" xfId="0" applyNumberFormat="1" applyFont="1" applyFill="1" applyBorder="1" applyAlignment="1" applyProtection="1">
      <alignment horizontal="center"/>
      <protection hidden="1"/>
    </xf>
    <xf numFmtId="0" fontId="102" fillId="28" borderId="10" xfId="0" applyFont="1" applyFill="1" applyBorder="1" applyAlignment="1" applyProtection="1">
      <alignment horizontal="center"/>
      <protection hidden="1"/>
    </xf>
    <xf numFmtId="0" fontId="0" fillId="0" borderId="16" xfId="0" applyBorder="1" applyAlignment="1" applyProtection="1">
      <alignment horizontal="center"/>
      <protection hidden="1"/>
    </xf>
    <xf numFmtId="0" fontId="108" fillId="23" borderId="16" xfId="0" applyFont="1" applyFill="1" applyBorder="1" applyAlignment="1" applyProtection="1">
      <alignment horizontal="left" vertical="center" wrapText="1"/>
      <protection hidden="1"/>
    </xf>
    <xf numFmtId="0" fontId="108" fillId="23" borderId="19" xfId="0" applyFont="1" applyFill="1" applyBorder="1" applyAlignment="1" applyProtection="1">
      <alignment horizontal="left" vertical="center" wrapText="1"/>
      <protection hidden="1"/>
    </xf>
    <xf numFmtId="0" fontId="106" fillId="23" borderId="11" xfId="0" applyFont="1" applyFill="1" applyBorder="1" applyAlignment="1" applyProtection="1">
      <alignment horizontal="center"/>
      <protection hidden="1"/>
    </xf>
    <xf numFmtId="0" fontId="0" fillId="0" borderId="12" xfId="0" applyBorder="1" applyAlignment="1" applyProtection="1">
      <alignment horizontal="center"/>
      <protection hidden="1"/>
    </xf>
    <xf numFmtId="0" fontId="0" fillId="0" borderId="9" xfId="0" applyBorder="1" applyAlignment="1" applyProtection="1">
      <alignment horizontal="center"/>
      <protection hidden="1"/>
    </xf>
    <xf numFmtId="182" fontId="0" fillId="0" borderId="0" xfId="0" applyNumberFormat="1" applyBorder="1" applyAlignment="1" applyProtection="1">
      <alignment horizontal="center"/>
      <protection hidden="1"/>
    </xf>
    <xf numFmtId="182" fontId="0" fillId="0" borderId="8" xfId="0" applyNumberFormat="1" applyBorder="1" applyAlignment="1" applyProtection="1">
      <alignment horizontal="center"/>
      <protection hidden="1"/>
    </xf>
    <xf numFmtId="182" fontId="1" fillId="8" borderId="0" xfId="0" applyNumberFormat="1" applyFont="1" applyFill="1" applyBorder="1" applyAlignment="1" applyProtection="1">
      <alignment horizontal="center"/>
      <protection locked="0"/>
    </xf>
    <xf numFmtId="182" fontId="1" fillId="8" borderId="8" xfId="0" applyNumberFormat="1" applyFont="1" applyFill="1" applyBorder="1" applyAlignment="1" applyProtection="1">
      <alignment horizontal="center"/>
      <protection locked="0"/>
    </xf>
    <xf numFmtId="0" fontId="107" fillId="23" borderId="16" xfId="0" applyFont="1" applyFill="1" applyBorder="1" applyAlignment="1" applyProtection="1">
      <alignment horizontal="center"/>
      <protection hidden="1"/>
    </xf>
    <xf numFmtId="0" fontId="107" fillId="23" borderId="19" xfId="0" applyFont="1" applyFill="1" applyBorder="1" applyAlignment="1" applyProtection="1">
      <alignment horizontal="center"/>
      <protection hidden="1"/>
    </xf>
    <xf numFmtId="0" fontId="107" fillId="23" borderId="17" xfId="0" applyFont="1" applyFill="1" applyBorder="1" applyAlignment="1" applyProtection="1">
      <alignment horizontal="center"/>
      <protection hidden="1"/>
    </xf>
    <xf numFmtId="0" fontId="25" fillId="0" borderId="7" xfId="0" applyFont="1" applyBorder="1" applyAlignment="1" applyProtection="1">
      <alignment horizontal="center"/>
      <protection hidden="1"/>
    </xf>
    <xf numFmtId="0" fontId="25" fillId="0" borderId="0" xfId="0" applyFont="1" applyBorder="1" applyAlignment="1" applyProtection="1">
      <alignment horizontal="center"/>
      <protection hidden="1"/>
    </xf>
    <xf numFmtId="0" fontId="25" fillId="0" borderId="8" xfId="0" applyFont="1" applyBorder="1" applyAlignment="1" applyProtection="1">
      <alignment horizontal="center"/>
      <protection hidden="1"/>
    </xf>
    <xf numFmtId="0" fontId="98" fillId="26" borderId="0" xfId="0" applyFont="1" applyFill="1" applyAlignment="1" applyProtection="1">
      <alignment horizontal="center" vertical="center" wrapText="1"/>
      <protection hidden="1"/>
    </xf>
    <xf numFmtId="0" fontId="35" fillId="0" borderId="7" xfId="0" applyFont="1" applyBorder="1" applyAlignment="1" applyProtection="1">
      <alignment horizontal="center"/>
      <protection hidden="1"/>
    </xf>
    <xf numFmtId="0" fontId="35" fillId="0" borderId="8" xfId="0" applyFont="1" applyBorder="1" applyAlignment="1" applyProtection="1">
      <alignment horizontal="center"/>
      <protection hidden="1"/>
    </xf>
    <xf numFmtId="0" fontId="1" fillId="27" borderId="16" xfId="0" applyFont="1" applyFill="1" applyBorder="1" applyAlignment="1" applyProtection="1">
      <alignment horizontal="center"/>
      <protection hidden="1"/>
    </xf>
    <xf numFmtId="0" fontId="1" fillId="27" borderId="17" xfId="0" applyFont="1" applyFill="1" applyBorder="1" applyAlignment="1" applyProtection="1">
      <alignment horizontal="center"/>
      <protection hidden="1"/>
    </xf>
    <xf numFmtId="0" fontId="27" fillId="18" borderId="16" xfId="0" applyFont="1" applyFill="1" applyBorder="1" applyAlignment="1" applyProtection="1">
      <alignment horizontal="center"/>
      <protection hidden="1"/>
    </xf>
    <xf numFmtId="0" fontId="27" fillId="18" borderId="17" xfId="0" applyFont="1" applyFill="1" applyBorder="1" applyAlignment="1" applyProtection="1">
      <alignment horizontal="center"/>
      <protection hidden="1"/>
    </xf>
    <xf numFmtId="0" fontId="1" fillId="27" borderId="11" xfId="0" applyFont="1" applyFill="1" applyBorder="1" applyAlignment="1" applyProtection="1">
      <alignment horizontal="center"/>
      <protection hidden="1"/>
    </xf>
    <xf numFmtId="0" fontId="4" fillId="27" borderId="11" xfId="0" applyFont="1" applyFill="1" applyBorder="1" applyAlignment="1" applyProtection="1">
      <alignment horizontal="center"/>
      <protection hidden="1"/>
    </xf>
    <xf numFmtId="0" fontId="4" fillId="27" borderId="25" xfId="0" applyFont="1" applyFill="1" applyBorder="1" applyAlignment="1" applyProtection="1">
      <alignment horizontal="center"/>
      <protection hidden="1"/>
    </xf>
    <xf numFmtId="0" fontId="92" fillId="26" borderId="0" xfId="0" applyFont="1" applyFill="1" applyAlignment="1" applyProtection="1">
      <alignment horizontal="center" wrapText="1"/>
      <protection hidden="1"/>
    </xf>
    <xf numFmtId="0" fontId="92" fillId="26" borderId="0" xfId="0" applyFont="1" applyFill="1" applyAlignment="1" applyProtection="1">
      <alignment horizontal="center"/>
      <protection hidden="1"/>
    </xf>
    <xf numFmtId="182" fontId="99" fillId="0" borderId="12" xfId="0" applyNumberFormat="1" applyFont="1" applyBorder="1" applyAlignment="1" applyProtection="1">
      <alignment horizontal="center"/>
      <protection hidden="1"/>
    </xf>
    <xf numFmtId="0" fontId="16" fillId="0" borderId="7" xfId="0" applyFont="1" applyBorder="1" applyAlignment="1" applyProtection="1">
      <alignment horizontal="right"/>
      <protection hidden="1"/>
    </xf>
    <xf numFmtId="0" fontId="16" fillId="0" borderId="0" xfId="0" applyFont="1" applyBorder="1" applyAlignment="1" applyProtection="1">
      <alignment horizontal="right"/>
      <protection hidden="1"/>
    </xf>
    <xf numFmtId="0" fontId="1" fillId="27" borderId="6" xfId="0" applyFont="1" applyFill="1" applyBorder="1" applyAlignment="1" applyProtection="1">
      <alignment horizontal="center" vertical="center"/>
      <protection hidden="1"/>
    </xf>
    <xf numFmtId="0" fontId="1" fillId="27" borderId="9" xfId="0" applyFont="1" applyFill="1" applyBorder="1" applyAlignment="1" applyProtection="1">
      <alignment horizontal="center" vertical="center"/>
      <protection hidden="1"/>
    </xf>
    <xf numFmtId="0" fontId="39" fillId="0" borderId="0" xfId="0" applyFont="1" applyAlignment="1" applyProtection="1">
      <alignment horizontal="center"/>
      <protection hidden="1"/>
    </xf>
    <xf numFmtId="0" fontId="100" fillId="23" borderId="6" xfId="0" applyFont="1" applyFill="1" applyBorder="1" applyAlignment="1" applyProtection="1">
      <alignment horizontal="left" vertical="center" wrapText="1"/>
      <protection hidden="1"/>
    </xf>
    <xf numFmtId="0" fontId="100" fillId="23" borderId="11" xfId="0" applyFont="1" applyFill="1" applyBorder="1" applyAlignment="1" applyProtection="1">
      <alignment horizontal="left" vertical="center" wrapText="1"/>
      <protection hidden="1"/>
    </xf>
    <xf numFmtId="0" fontId="100" fillId="23" borderId="25" xfId="0" applyFont="1" applyFill="1" applyBorder="1" applyAlignment="1" applyProtection="1">
      <alignment horizontal="left" vertical="center" wrapText="1"/>
      <protection hidden="1"/>
    </xf>
    <xf numFmtId="0" fontId="100" fillId="23" borderId="7" xfId="0" applyFont="1" applyFill="1" applyBorder="1" applyAlignment="1" applyProtection="1">
      <alignment horizontal="left" vertical="center" wrapText="1"/>
      <protection hidden="1"/>
    </xf>
    <xf numFmtId="0" fontId="100" fillId="23" borderId="0" xfId="0" applyFont="1" applyFill="1" applyBorder="1" applyAlignment="1" applyProtection="1">
      <alignment horizontal="left" vertical="center" wrapText="1"/>
      <protection hidden="1"/>
    </xf>
    <xf numFmtId="0" fontId="100" fillId="23" borderId="8" xfId="0" applyFont="1" applyFill="1" applyBorder="1" applyAlignment="1" applyProtection="1">
      <alignment horizontal="left" vertical="center" wrapText="1"/>
      <protection hidden="1"/>
    </xf>
    <xf numFmtId="0" fontId="100" fillId="23" borderId="9" xfId="0" applyFont="1" applyFill="1" applyBorder="1" applyAlignment="1" applyProtection="1">
      <alignment horizontal="left" vertical="center" wrapText="1"/>
      <protection hidden="1"/>
    </xf>
    <xf numFmtId="0" fontId="100" fillId="23" borderId="12" xfId="0" applyFont="1" applyFill="1" applyBorder="1" applyAlignment="1" applyProtection="1">
      <alignment horizontal="left" vertical="center" wrapText="1"/>
      <protection hidden="1"/>
    </xf>
    <xf numFmtId="0" fontId="100" fillId="23" borderId="10" xfId="0" applyFont="1" applyFill="1" applyBorder="1" applyAlignment="1" applyProtection="1">
      <alignment horizontal="left" vertical="center" wrapText="1"/>
      <protection hidden="1"/>
    </xf>
    <xf numFmtId="0" fontId="0" fillId="0" borderId="8" xfId="0" applyFont="1" applyFill="1" applyBorder="1" applyAlignment="1" applyProtection="1">
      <alignment horizontal="center"/>
      <protection hidden="1"/>
    </xf>
    <xf numFmtId="0" fontId="0" fillId="0" borderId="0" xfId="0" applyFont="1" applyFill="1" applyAlignment="1" applyProtection="1">
      <alignment horizontal="center"/>
      <protection hidden="1"/>
    </xf>
    <xf numFmtId="0" fontId="0" fillId="0" borderId="12" xfId="0" applyFont="1" applyFill="1" applyBorder="1" applyAlignment="1" applyProtection="1">
      <alignment horizontal="center"/>
      <protection hidden="1"/>
    </xf>
    <xf numFmtId="0" fontId="70" fillId="10" borderId="6" xfId="0" applyFont="1" applyFill="1" applyBorder="1" applyAlignment="1" applyProtection="1">
      <alignment horizontal="center"/>
      <protection hidden="1"/>
    </xf>
    <xf numFmtId="0" fontId="70" fillId="10" borderId="11" xfId="0" applyFont="1" applyFill="1" applyBorder="1" applyAlignment="1" applyProtection="1">
      <alignment horizontal="center"/>
      <protection hidden="1"/>
    </xf>
    <xf numFmtId="0" fontId="70" fillId="10" borderId="25" xfId="0" applyFont="1" applyFill="1" applyBorder="1" applyAlignment="1" applyProtection="1">
      <alignment horizontal="center"/>
      <protection hidden="1"/>
    </xf>
    <xf numFmtId="190" fontId="1" fillId="0" borderId="12" xfId="0" applyNumberFormat="1" applyFont="1" applyBorder="1" applyAlignment="1" applyProtection="1">
      <alignment horizontal="center"/>
      <protection hidden="1"/>
    </xf>
    <xf numFmtId="190" fontId="1" fillId="0" borderId="10" xfId="0" applyNumberFormat="1" applyFont="1" applyBorder="1" applyAlignment="1" applyProtection="1">
      <alignment horizontal="center"/>
      <protection hidden="1"/>
    </xf>
    <xf numFmtId="0" fontId="66" fillId="0" borderId="157" xfId="0" applyFont="1" applyBorder="1" applyAlignment="1" applyProtection="1">
      <alignment horizontal="left"/>
      <protection hidden="1"/>
    </xf>
    <xf numFmtId="0" fontId="66" fillId="0" borderId="136" xfId="0" applyFont="1" applyBorder="1" applyAlignment="1" applyProtection="1">
      <alignment horizontal="left"/>
      <protection hidden="1"/>
    </xf>
    <xf numFmtId="0" fontId="66" fillId="0" borderId="158" xfId="0" applyFont="1" applyBorder="1" applyAlignment="1" applyProtection="1">
      <alignment horizontal="left"/>
      <protection hidden="1"/>
    </xf>
    <xf numFmtId="0" fontId="0" fillId="0" borderId="11" xfId="0" applyBorder="1" applyAlignment="1" applyProtection="1">
      <alignment horizontal="center"/>
      <protection hidden="1"/>
    </xf>
    <xf numFmtId="0" fontId="1" fillId="0" borderId="19" xfId="0" applyFont="1" applyBorder="1" applyAlignment="1" applyProtection="1">
      <alignment horizontal="center"/>
      <protection hidden="1"/>
    </xf>
    <xf numFmtId="10" fontId="1" fillId="0" borderId="19" xfId="2" applyNumberFormat="1" applyFont="1" applyFill="1" applyBorder="1" applyAlignment="1" applyProtection="1">
      <alignment horizontal="center"/>
      <protection hidden="1"/>
    </xf>
    <xf numFmtId="0" fontId="0" fillId="0" borderId="19" xfId="0" applyBorder="1" applyProtection="1">
      <protection hidden="1"/>
    </xf>
    <xf numFmtId="0" fontId="0" fillId="0" borderId="17" xfId="0" applyBorder="1" applyProtection="1">
      <protection hidden="1"/>
    </xf>
    <xf numFmtId="0" fontId="25" fillId="0" borderId="6" xfId="0" applyFont="1" applyBorder="1" applyAlignment="1" applyProtection="1">
      <alignment horizontal="center"/>
      <protection hidden="1"/>
    </xf>
    <xf numFmtId="0" fontId="25" fillId="0" borderId="11" xfId="0" applyFont="1" applyBorder="1" applyAlignment="1" applyProtection="1">
      <alignment horizontal="center"/>
      <protection hidden="1"/>
    </xf>
    <xf numFmtId="0" fontId="25" fillId="0" borderId="25" xfId="0" applyFont="1" applyBorder="1" applyAlignment="1" applyProtection="1">
      <alignment horizontal="center"/>
      <protection hidden="1"/>
    </xf>
    <xf numFmtId="0" fontId="102" fillId="24" borderId="6" xfId="0" applyFont="1" applyFill="1" applyBorder="1" applyAlignment="1" applyProtection="1">
      <alignment horizontal="center"/>
      <protection hidden="1"/>
    </xf>
    <xf numFmtId="0" fontId="102" fillId="24" borderId="11" xfId="0" applyFont="1" applyFill="1" applyBorder="1" applyAlignment="1" applyProtection="1">
      <alignment horizontal="center"/>
      <protection hidden="1"/>
    </xf>
    <xf numFmtId="0" fontId="102" fillId="24" borderId="25" xfId="0" applyFont="1" applyFill="1" applyBorder="1" applyAlignment="1" applyProtection="1">
      <alignment horizontal="center"/>
      <protection hidden="1"/>
    </xf>
    <xf numFmtId="0" fontId="43" fillId="10" borderId="9" xfId="3" applyFill="1" applyBorder="1" applyAlignment="1" applyProtection="1">
      <alignment horizontal="center"/>
      <protection hidden="1"/>
    </xf>
    <xf numFmtId="0" fontId="43" fillId="10" borderId="12" xfId="3" applyFill="1" applyBorder="1" applyAlignment="1" applyProtection="1">
      <alignment horizontal="center"/>
      <protection hidden="1"/>
    </xf>
    <xf numFmtId="0" fontId="43" fillId="10" borderId="10" xfId="3" applyFill="1" applyBorder="1" applyAlignment="1" applyProtection="1">
      <alignment horizontal="center"/>
      <protection hidden="1"/>
    </xf>
    <xf numFmtId="0" fontId="43" fillId="10" borderId="7" xfId="3" applyFill="1" applyBorder="1" applyAlignment="1" applyProtection="1">
      <alignment horizontal="center" vertical="center"/>
      <protection hidden="1"/>
    </xf>
    <xf numFmtId="0" fontId="43" fillId="10" borderId="0" xfId="3" applyFill="1" applyBorder="1" applyAlignment="1" applyProtection="1">
      <alignment horizontal="center" vertical="center"/>
      <protection hidden="1"/>
    </xf>
    <xf numFmtId="0" fontId="43" fillId="10" borderId="8" xfId="3" applyFill="1" applyBorder="1" applyAlignment="1" applyProtection="1">
      <alignment horizontal="center" vertical="center"/>
      <protection hidden="1"/>
    </xf>
    <xf numFmtId="0" fontId="31" fillId="10" borderId="7" xfId="0" applyFont="1" applyFill="1" applyBorder="1" applyAlignment="1" applyProtection="1">
      <alignment horizontal="center"/>
      <protection hidden="1"/>
    </xf>
    <xf numFmtId="0" fontId="31" fillId="10" borderId="0" xfId="0" applyFont="1" applyFill="1" applyBorder="1" applyAlignment="1" applyProtection="1">
      <alignment horizontal="center"/>
      <protection hidden="1"/>
    </xf>
    <xf numFmtId="0" fontId="31" fillId="10" borderId="8" xfId="0" applyFont="1" applyFill="1" applyBorder="1" applyAlignment="1" applyProtection="1">
      <alignment horizontal="center"/>
      <protection hidden="1"/>
    </xf>
    <xf numFmtId="0" fontId="31" fillId="18" borderId="6" xfId="0" applyFont="1" applyFill="1" applyBorder="1" applyAlignment="1" applyProtection="1">
      <alignment horizontal="center"/>
      <protection hidden="1"/>
    </xf>
    <xf numFmtId="0" fontId="31" fillId="18" borderId="25" xfId="0" applyFont="1" applyFill="1" applyBorder="1" applyAlignment="1" applyProtection="1">
      <alignment horizontal="center"/>
      <protection hidden="1"/>
    </xf>
    <xf numFmtId="0" fontId="1" fillId="27" borderId="19" xfId="0" applyFont="1" applyFill="1" applyBorder="1" applyAlignment="1" applyProtection="1">
      <alignment horizontal="center"/>
      <protection hidden="1"/>
    </xf>
    <xf numFmtId="0" fontId="31" fillId="0" borderId="0" xfId="0" applyFont="1" applyBorder="1" applyAlignment="1" applyProtection="1">
      <alignment horizontal="center"/>
      <protection hidden="1"/>
    </xf>
    <xf numFmtId="0" fontId="31" fillId="0" borderId="8" xfId="0" applyFont="1" applyBorder="1" applyAlignment="1" applyProtection="1">
      <alignment horizontal="center"/>
      <protection hidden="1"/>
    </xf>
    <xf numFmtId="0" fontId="0" fillId="0" borderId="6" xfId="0" applyBorder="1" applyAlignment="1" applyProtection="1">
      <alignment horizontal="center"/>
      <protection hidden="1"/>
    </xf>
    <xf numFmtId="0" fontId="0" fillId="0" borderId="25" xfId="0" applyBorder="1" applyAlignment="1" applyProtection="1">
      <alignment horizontal="center"/>
      <protection hidden="1"/>
    </xf>
    <xf numFmtId="0" fontId="19" fillId="0" borderId="7" xfId="0" applyFont="1" applyBorder="1" applyAlignment="1" applyProtection="1">
      <alignment vertical="center"/>
      <protection hidden="1"/>
    </xf>
    <xf numFmtId="0" fontId="19" fillId="0" borderId="0" xfId="0" applyFont="1" applyBorder="1" applyAlignment="1" applyProtection="1">
      <alignment vertical="center"/>
      <protection hidden="1"/>
    </xf>
    <xf numFmtId="0" fontId="83" fillId="0" borderId="151" xfId="0" applyFont="1" applyBorder="1" applyAlignment="1" applyProtection="1">
      <alignment horizontal="center"/>
      <protection hidden="1"/>
    </xf>
    <xf numFmtId="0" fontId="83" fillId="0" borderId="152" xfId="0" applyFont="1" applyBorder="1" applyAlignment="1" applyProtection="1">
      <alignment horizontal="center"/>
      <protection hidden="1"/>
    </xf>
    <xf numFmtId="0" fontId="83" fillId="0" borderId="153" xfId="0" applyFont="1" applyBorder="1" applyAlignment="1" applyProtection="1">
      <alignment horizontal="center"/>
      <protection hidden="1"/>
    </xf>
    <xf numFmtId="0" fontId="61" fillId="14" borderId="154" xfId="0" applyFont="1" applyFill="1" applyBorder="1" applyAlignment="1" applyProtection="1">
      <alignment horizontal="center" vertical="center" wrapText="1"/>
      <protection hidden="1"/>
    </xf>
    <xf numFmtId="176" fontId="63" fillId="17" borderId="154" xfId="0" applyNumberFormat="1" applyFont="1" applyFill="1" applyBorder="1" applyAlignment="1" applyProtection="1">
      <alignment horizontal="left" vertical="top" wrapText="1"/>
      <protection hidden="1"/>
    </xf>
    <xf numFmtId="174" fontId="63" fillId="17" borderId="154" xfId="0" applyNumberFormat="1" applyFont="1" applyFill="1" applyBorder="1" applyAlignment="1" applyProtection="1">
      <alignment horizontal="left" vertical="top" wrapText="1"/>
      <protection hidden="1"/>
    </xf>
    <xf numFmtId="177" fontId="63" fillId="17" borderId="156" xfId="0" applyNumberFormat="1" applyFont="1" applyFill="1" applyBorder="1" applyAlignment="1" applyProtection="1">
      <alignment horizontal="left" vertical="top" wrapText="1"/>
      <protection hidden="1"/>
    </xf>
    <xf numFmtId="0" fontId="105" fillId="10" borderId="8" xfId="3" applyFont="1" applyFill="1" applyBorder="1" applyAlignment="1" applyProtection="1">
      <alignment horizontal="center" vertical="center" wrapText="1"/>
      <protection hidden="1"/>
    </xf>
    <xf numFmtId="0" fontId="105" fillId="10" borderId="12" xfId="3" applyFont="1" applyFill="1" applyBorder="1" applyAlignment="1" applyProtection="1">
      <alignment horizontal="center" vertical="center" wrapText="1"/>
      <protection hidden="1"/>
    </xf>
    <xf numFmtId="0" fontId="105" fillId="10" borderId="10" xfId="3" applyFont="1" applyFill="1" applyBorder="1" applyAlignment="1" applyProtection="1">
      <alignment horizontal="center" vertical="center" wrapText="1"/>
      <protection hidden="1"/>
    </xf>
    <xf numFmtId="0" fontId="114" fillId="0" borderId="0" xfId="3" applyFont="1" applyFill="1" applyBorder="1" applyAlignment="1" applyProtection="1">
      <alignment horizontal="center" vertical="center" wrapText="1"/>
      <protection hidden="1"/>
    </xf>
    <xf numFmtId="0" fontId="114" fillId="0" borderId="8" xfId="3" applyFont="1" applyFill="1" applyBorder="1" applyAlignment="1" applyProtection="1">
      <alignment horizontal="center" vertical="center" wrapText="1"/>
      <protection hidden="1"/>
    </xf>
    <xf numFmtId="0" fontId="113" fillId="23" borderId="11" xfId="0" applyFont="1" applyFill="1" applyBorder="1" applyAlignment="1" applyProtection="1">
      <alignment horizontal="center" vertical="center"/>
      <protection hidden="1"/>
    </xf>
    <xf numFmtId="0" fontId="113" fillId="23" borderId="25" xfId="0" applyFont="1" applyFill="1" applyBorder="1" applyAlignment="1" applyProtection="1">
      <alignment horizontal="center" vertical="center"/>
      <protection hidden="1"/>
    </xf>
    <xf numFmtId="0" fontId="38" fillId="18" borderId="7" xfId="0" applyNumberFormat="1" applyFont="1" applyFill="1" applyBorder="1" applyAlignment="1" applyProtection="1">
      <alignment horizontal="right" vertical="justify" wrapText="1"/>
      <protection hidden="1"/>
    </xf>
    <xf numFmtId="0" fontId="38" fillId="18" borderId="0" xfId="0" applyNumberFormat="1" applyFont="1" applyFill="1" applyBorder="1" applyAlignment="1" applyProtection="1">
      <alignment horizontal="right" vertical="justify" wrapText="1"/>
      <protection hidden="1"/>
    </xf>
    <xf numFmtId="0" fontId="38" fillId="18" borderId="9" xfId="0" applyNumberFormat="1" applyFont="1" applyFill="1" applyBorder="1" applyAlignment="1" applyProtection="1">
      <alignment horizontal="right" vertical="justify" wrapText="1"/>
      <protection hidden="1"/>
    </xf>
    <xf numFmtId="0" fontId="38" fillId="18" borderId="12" xfId="0" applyNumberFormat="1" applyFont="1" applyFill="1" applyBorder="1" applyAlignment="1" applyProtection="1">
      <alignment horizontal="right" vertical="justify" wrapText="1"/>
      <protection hidden="1"/>
    </xf>
    <xf numFmtId="0" fontId="102" fillId="28" borderId="16" xfId="0" applyFont="1" applyFill="1" applyBorder="1" applyAlignment="1" applyProtection="1">
      <alignment horizontal="right"/>
      <protection hidden="1"/>
    </xf>
    <xf numFmtId="0" fontId="102" fillId="28" borderId="19" xfId="0" applyFont="1" applyFill="1" applyBorder="1" applyAlignment="1" applyProtection="1">
      <alignment horizontal="right"/>
      <protection hidden="1"/>
    </xf>
    <xf numFmtId="0" fontId="90" fillId="10" borderId="19" xfId="0" applyFont="1" applyFill="1" applyBorder="1" applyAlignment="1" applyProtection="1">
      <alignment horizontal="center" vertical="center" wrapText="1"/>
      <protection hidden="1"/>
    </xf>
    <xf numFmtId="0" fontId="90" fillId="10" borderId="17" xfId="0" applyFont="1" applyFill="1" applyBorder="1" applyAlignment="1" applyProtection="1">
      <alignment horizontal="center" vertical="center"/>
      <protection hidden="1"/>
    </xf>
    <xf numFmtId="0" fontId="24" fillId="18" borderId="6" xfId="0" applyFont="1" applyFill="1" applyBorder="1" applyAlignment="1" applyProtection="1">
      <alignment horizontal="center"/>
      <protection hidden="1"/>
    </xf>
    <xf numFmtId="0" fontId="24" fillId="18" borderId="11" xfId="0" applyFont="1" applyFill="1" applyBorder="1" applyAlignment="1" applyProtection="1">
      <alignment horizontal="center"/>
      <protection hidden="1"/>
    </xf>
    <xf numFmtId="188" fontId="81" fillId="18" borderId="11" xfId="0" applyNumberFormat="1" applyFont="1" applyFill="1" applyBorder="1" applyAlignment="1" applyProtection="1">
      <alignment horizontal="center"/>
      <protection hidden="1"/>
    </xf>
    <xf numFmtId="0" fontId="81" fillId="18" borderId="11" xfId="0" applyFont="1" applyFill="1" applyBorder="1" applyAlignment="1" applyProtection="1">
      <alignment horizontal="center"/>
      <protection hidden="1"/>
    </xf>
    <xf numFmtId="0" fontId="81" fillId="18" borderId="25" xfId="0" applyFont="1" applyFill="1" applyBorder="1" applyAlignment="1" applyProtection="1">
      <alignment horizontal="center"/>
      <protection hidden="1"/>
    </xf>
    <xf numFmtId="0" fontId="31" fillId="0" borderId="0" xfId="0" applyFont="1" applyFill="1" applyBorder="1" applyAlignment="1" applyProtection="1">
      <alignment horizontal="center"/>
      <protection hidden="1"/>
    </xf>
    <xf numFmtId="0" fontId="31" fillId="0" borderId="12" xfId="0" applyFont="1" applyFill="1" applyBorder="1" applyAlignment="1" applyProtection="1">
      <alignment horizontal="center"/>
      <protection hidden="1"/>
    </xf>
    <xf numFmtId="0" fontId="0" fillId="0" borderId="10" xfId="0" applyBorder="1" applyAlignment="1" applyProtection="1">
      <alignment horizontal="center"/>
      <protection hidden="1"/>
    </xf>
    <xf numFmtId="0" fontId="71" fillId="14" borderId="154" xfId="0" applyFont="1" applyFill="1" applyBorder="1" applyAlignment="1" applyProtection="1">
      <alignment horizontal="center" vertical="center" wrapText="1"/>
      <protection hidden="1"/>
    </xf>
    <xf numFmtId="0" fontId="38" fillId="0" borderId="137" xfId="0" applyFont="1" applyBorder="1" applyAlignment="1" applyProtection="1">
      <alignment horizontal="center" vertical="justify" wrapText="1"/>
      <protection hidden="1"/>
    </xf>
    <xf numFmtId="0" fontId="38" fillId="0" borderId="0" xfId="0" applyFont="1" applyBorder="1" applyAlignment="1" applyProtection="1">
      <alignment horizontal="center" vertical="justify" wrapText="1"/>
      <protection hidden="1"/>
    </xf>
    <xf numFmtId="0" fontId="38" fillId="0" borderId="8" xfId="0" applyFont="1" applyBorder="1" applyAlignment="1" applyProtection="1">
      <alignment horizontal="center" vertical="justify" wrapText="1"/>
      <protection hidden="1"/>
    </xf>
    <xf numFmtId="0" fontId="38" fillId="0" borderId="162" xfId="0" applyFont="1" applyBorder="1" applyAlignment="1" applyProtection="1">
      <alignment horizontal="center" vertical="justify" wrapText="1"/>
      <protection hidden="1"/>
    </xf>
    <xf numFmtId="0" fontId="38" fillId="0" borderId="12" xfId="0" applyFont="1" applyBorder="1" applyAlignment="1" applyProtection="1">
      <alignment horizontal="center" vertical="justify" wrapText="1"/>
      <protection hidden="1"/>
    </xf>
    <xf numFmtId="0" fontId="38" fillId="0" borderId="10" xfId="0" applyFont="1" applyBorder="1" applyAlignment="1" applyProtection="1">
      <alignment horizontal="center" vertical="justify" wrapText="1"/>
      <protection hidden="1"/>
    </xf>
    <xf numFmtId="0" fontId="71" fillId="14" borderId="159" xfId="0" applyFont="1" applyFill="1" applyBorder="1" applyAlignment="1" applyProtection="1">
      <alignment horizontal="center" vertical="center" wrapText="1"/>
      <protection hidden="1"/>
    </xf>
    <xf numFmtId="0" fontId="71" fillId="14" borderId="160" xfId="0" applyFont="1" applyFill="1" applyBorder="1" applyAlignment="1" applyProtection="1">
      <alignment horizontal="center" vertical="center" wrapText="1"/>
      <protection hidden="1"/>
    </xf>
    <xf numFmtId="0" fontId="1" fillId="0" borderId="7" xfId="0" applyFont="1" applyBorder="1" applyAlignment="1" applyProtection="1">
      <alignment vertical="center"/>
      <protection hidden="1"/>
    </xf>
    <xf numFmtId="0" fontId="1" fillId="0" borderId="0" xfId="0" applyFont="1" applyBorder="1" applyAlignment="1" applyProtection="1">
      <alignment vertical="center"/>
      <protection hidden="1"/>
    </xf>
    <xf numFmtId="0" fontId="102" fillId="28" borderId="9" xfId="0" applyFont="1" applyFill="1" applyBorder="1" applyAlignment="1" applyProtection="1">
      <alignment horizontal="right"/>
      <protection hidden="1"/>
    </xf>
    <xf numFmtId="0" fontId="102" fillId="28" borderId="12" xfId="0" applyFont="1" applyFill="1" applyBorder="1" applyAlignment="1" applyProtection="1">
      <alignment horizontal="right"/>
      <protection hidden="1"/>
    </xf>
    <xf numFmtId="0" fontId="18" fillId="0" borderId="6" xfId="0" applyFont="1" applyFill="1" applyBorder="1" applyAlignment="1" applyProtection="1">
      <alignment vertical="center"/>
      <protection hidden="1"/>
    </xf>
    <xf numFmtId="0" fontId="18" fillId="0" borderId="11" xfId="0" applyFont="1" applyFill="1" applyBorder="1" applyAlignment="1" applyProtection="1">
      <alignment vertical="center"/>
      <protection hidden="1"/>
    </xf>
    <xf numFmtId="0" fontId="104" fillId="0" borderId="7" xfId="0" applyFont="1" applyFill="1" applyBorder="1" applyAlignment="1" applyProtection="1">
      <alignment vertical="center" wrapText="1"/>
      <protection hidden="1"/>
    </xf>
    <xf numFmtId="0" fontId="104" fillId="0" borderId="0" xfId="0" applyFont="1" applyFill="1" applyBorder="1" applyAlignment="1" applyProtection="1">
      <alignment vertical="center" wrapText="1"/>
      <protection hidden="1"/>
    </xf>
    <xf numFmtId="0" fontId="127" fillId="0" borderId="0" xfId="0" applyFont="1" applyAlignment="1">
      <alignment horizontal="left" vertical="top" wrapText="1"/>
    </xf>
    <xf numFmtId="2" fontId="23" fillId="7" borderId="7" xfId="0" applyNumberFormat="1" applyFont="1" applyFill="1" applyBorder="1" applyAlignment="1" applyProtection="1">
      <alignment horizontal="center"/>
      <protection hidden="1"/>
    </xf>
    <xf numFmtId="2" fontId="23" fillId="7" borderId="0" xfId="0" applyNumberFormat="1" applyFont="1" applyFill="1" applyBorder="1" applyAlignment="1" applyProtection="1">
      <alignment horizontal="center"/>
      <protection hidden="1"/>
    </xf>
    <xf numFmtId="164" fontId="18" fillId="3" borderId="5" xfId="1" applyNumberFormat="1" applyFont="1" applyFill="1" applyBorder="1" applyAlignment="1" applyProtection="1">
      <alignment horizontal="center" vertical="center"/>
      <protection hidden="1"/>
    </xf>
    <xf numFmtId="165" fontId="7" fillId="7" borderId="5" xfId="2" applyNumberFormat="1" applyFont="1" applyFill="1" applyBorder="1" applyAlignment="1" applyProtection="1">
      <alignment horizontal="center" vertical="center" wrapText="1"/>
      <protection hidden="1"/>
    </xf>
    <xf numFmtId="9" fontId="7" fillId="7" borderId="5" xfId="2" applyFont="1" applyFill="1" applyBorder="1" applyAlignment="1" applyProtection="1">
      <alignment horizontal="center" vertical="center" wrapText="1"/>
      <protection hidden="1"/>
    </xf>
    <xf numFmtId="0" fontId="24" fillId="7" borderId="62" xfId="0" applyFont="1" applyFill="1" applyBorder="1" applyAlignment="1" applyProtection="1">
      <alignment horizontal="center" vertical="center" wrapText="1" shrinkToFit="1"/>
      <protection hidden="1"/>
    </xf>
    <xf numFmtId="0" fontId="24" fillId="7" borderId="49" xfId="0" applyFont="1" applyFill="1" applyBorder="1" applyAlignment="1" applyProtection="1">
      <alignment horizontal="center" vertical="center" wrapText="1" shrinkToFit="1"/>
      <protection hidden="1"/>
    </xf>
    <xf numFmtId="0" fontId="87" fillId="0" borderId="0" xfId="4" quotePrefix="1" applyNumberFormat="1" applyFont="1" applyAlignment="1">
      <alignment horizontal="center"/>
    </xf>
    <xf numFmtId="0" fontId="21" fillId="7" borderId="114" xfId="0" applyFont="1" applyFill="1" applyBorder="1" applyAlignment="1" applyProtection="1">
      <alignment horizontal="right" vertical="center"/>
      <protection hidden="1"/>
    </xf>
    <xf numFmtId="0" fontId="21" fillId="7" borderId="12" xfId="0" applyFont="1" applyFill="1" applyBorder="1" applyAlignment="1" applyProtection="1">
      <alignment horizontal="right" vertical="center"/>
      <protection hidden="1"/>
    </xf>
    <xf numFmtId="0" fontId="21" fillId="7" borderId="10" xfId="0" applyFont="1" applyFill="1" applyBorder="1" applyAlignment="1" applyProtection="1">
      <alignment horizontal="right" vertical="center"/>
      <protection hidden="1"/>
    </xf>
    <xf numFmtId="0" fontId="82" fillId="0" borderId="0" xfId="0" applyFont="1" applyAlignment="1" applyProtection="1">
      <alignment horizontal="center"/>
      <protection hidden="1"/>
    </xf>
    <xf numFmtId="0" fontId="21" fillId="7" borderId="63" xfId="0" applyFont="1" applyFill="1" applyBorder="1" applyAlignment="1" applyProtection="1">
      <alignment horizontal="right" vertical="center"/>
      <protection hidden="1"/>
    </xf>
    <xf numFmtId="0" fontId="92" fillId="0" borderId="0" xfId="0" applyFont="1" applyAlignment="1" applyProtection="1">
      <alignment horizontal="center"/>
      <protection hidden="1"/>
    </xf>
    <xf numFmtId="0" fontId="92" fillId="0" borderId="49" xfId="0" applyFont="1" applyBorder="1" applyAlignment="1" applyProtection="1">
      <alignment horizontal="center"/>
      <protection hidden="1"/>
    </xf>
    <xf numFmtId="0" fontId="84" fillId="18" borderId="0" xfId="3" applyFont="1" applyFill="1" applyAlignment="1" applyProtection="1">
      <alignment horizontal="center"/>
      <protection hidden="1"/>
    </xf>
    <xf numFmtId="0" fontId="21" fillId="7" borderId="59" xfId="0" applyFont="1" applyFill="1" applyBorder="1" applyAlignment="1" applyProtection="1">
      <alignment horizontal="right" vertical="center"/>
      <protection hidden="1"/>
    </xf>
    <xf numFmtId="165" fontId="95" fillId="18" borderId="5" xfId="2" applyNumberFormat="1" applyFont="1" applyFill="1" applyBorder="1" applyAlignment="1" applyProtection="1">
      <alignment horizontal="center" vertical="center" wrapText="1"/>
      <protection hidden="1"/>
    </xf>
    <xf numFmtId="9" fontId="95" fillId="18" borderId="5" xfId="2" applyFont="1" applyFill="1" applyBorder="1" applyAlignment="1" applyProtection="1">
      <alignment horizontal="center" vertical="center" wrapText="1"/>
      <protection hidden="1"/>
    </xf>
    <xf numFmtId="0" fontId="12" fillId="9" borderId="60" xfId="0" applyFont="1" applyFill="1" applyBorder="1" applyAlignment="1" applyProtection="1">
      <alignment horizontal="center" vertical="center" wrapText="1"/>
      <protection hidden="1"/>
    </xf>
    <xf numFmtId="0" fontId="12" fillId="9" borderId="61" xfId="0" applyFont="1" applyFill="1" applyBorder="1" applyAlignment="1" applyProtection="1">
      <alignment horizontal="center" vertical="center" wrapText="1"/>
      <protection hidden="1"/>
    </xf>
    <xf numFmtId="0" fontId="12" fillId="9" borderId="64" xfId="0" applyFont="1" applyFill="1" applyBorder="1" applyAlignment="1" applyProtection="1">
      <alignment horizontal="center" vertical="center" wrapText="1"/>
      <protection hidden="1"/>
    </xf>
    <xf numFmtId="0" fontId="19" fillId="2" borderId="43" xfId="0" applyFont="1" applyFill="1" applyBorder="1" applyAlignment="1" applyProtection="1">
      <alignment horizontal="center"/>
      <protection hidden="1"/>
    </xf>
    <xf numFmtId="0" fontId="19" fillId="2" borderId="44" xfId="0" applyFont="1" applyFill="1" applyBorder="1" applyAlignment="1" applyProtection="1">
      <alignment horizontal="center"/>
      <protection hidden="1"/>
    </xf>
    <xf numFmtId="0" fontId="0" fillId="7" borderId="57" xfId="0" applyFill="1" applyBorder="1" applyAlignment="1" applyProtection="1">
      <alignment horizontal="center"/>
      <protection hidden="1"/>
    </xf>
    <xf numFmtId="0" fontId="28" fillId="7" borderId="63" xfId="0" applyFont="1" applyFill="1" applyBorder="1" applyAlignment="1" applyProtection="1">
      <alignment horizontal="right" vertical="center"/>
      <protection hidden="1"/>
    </xf>
    <xf numFmtId="0" fontId="123" fillId="23" borderId="0" xfId="3" applyFont="1" applyFill="1" applyAlignment="1" applyProtection="1">
      <alignment horizontal="right"/>
    </xf>
    <xf numFmtId="0" fontId="92" fillId="7" borderId="59" xfId="0" applyFont="1" applyFill="1" applyBorder="1" applyAlignment="1" applyProtection="1">
      <alignment horizontal="center"/>
      <protection hidden="1"/>
    </xf>
    <xf numFmtId="0" fontId="92" fillId="7" borderId="12" xfId="0" applyFont="1" applyFill="1" applyBorder="1" applyAlignment="1" applyProtection="1">
      <alignment horizontal="center"/>
      <protection hidden="1"/>
    </xf>
    <xf numFmtId="0" fontId="39" fillId="18" borderId="6" xfId="0" applyFont="1" applyFill="1" applyBorder="1" applyAlignment="1">
      <alignment horizontal="center" vertical="center" wrapText="1"/>
    </xf>
    <xf numFmtId="0" fontId="39" fillId="18" borderId="11" xfId="0" applyFont="1" applyFill="1" applyBorder="1" applyAlignment="1">
      <alignment horizontal="center" vertical="center"/>
    </xf>
    <xf numFmtId="0" fontId="39" fillId="18" borderId="25" xfId="0" applyFont="1" applyFill="1" applyBorder="1" applyAlignment="1">
      <alignment horizontal="center" vertical="center"/>
    </xf>
    <xf numFmtId="0" fontId="39" fillId="18" borderId="7" xfId="0" applyFont="1" applyFill="1" applyBorder="1" applyAlignment="1">
      <alignment horizontal="center" vertical="center"/>
    </xf>
    <xf numFmtId="0" fontId="39" fillId="18" borderId="0" xfId="0" applyFont="1" applyFill="1" applyBorder="1" applyAlignment="1">
      <alignment horizontal="center" vertical="center"/>
    </xf>
    <xf numFmtId="0" fontId="39" fillId="18" borderId="8" xfId="0" applyFont="1" applyFill="1" applyBorder="1" applyAlignment="1">
      <alignment horizontal="center" vertical="center"/>
    </xf>
    <xf numFmtId="0" fontId="39" fillId="18" borderId="9" xfId="0" applyFont="1" applyFill="1" applyBorder="1" applyAlignment="1">
      <alignment horizontal="center" vertical="center"/>
    </xf>
    <xf numFmtId="0" fontId="39" fillId="18" borderId="12" xfId="0" applyFont="1" applyFill="1" applyBorder="1" applyAlignment="1">
      <alignment horizontal="center" vertical="center"/>
    </xf>
    <xf numFmtId="0" fontId="39" fillId="18" borderId="10" xfId="0" applyFont="1" applyFill="1" applyBorder="1" applyAlignment="1">
      <alignment horizontal="center" vertical="center"/>
    </xf>
    <xf numFmtId="0" fontId="23" fillId="0" borderId="0" xfId="0" applyFont="1" applyAlignment="1">
      <alignment horizontal="center"/>
    </xf>
    <xf numFmtId="0" fontId="60" fillId="23" borderId="6" xfId="0" applyFont="1" applyFill="1" applyBorder="1" applyAlignment="1">
      <alignment horizontal="center" vertical="center" wrapText="1"/>
    </xf>
    <xf numFmtId="0" fontId="60" fillId="23" borderId="7" xfId="0" applyFont="1" applyFill="1" applyBorder="1" applyAlignment="1">
      <alignment horizontal="center" vertical="center"/>
    </xf>
    <xf numFmtId="0" fontId="60" fillId="23" borderId="9" xfId="0" applyFont="1" applyFill="1" applyBorder="1" applyAlignment="1">
      <alignment horizontal="center" vertical="center"/>
    </xf>
    <xf numFmtId="0" fontId="60" fillId="23" borderId="11" xfId="0" applyFont="1" applyFill="1" applyBorder="1" applyAlignment="1">
      <alignment horizontal="left" vertical="center"/>
    </xf>
    <xf numFmtId="0" fontId="60" fillId="23" borderId="0" xfId="0" applyFont="1" applyFill="1" applyBorder="1" applyAlignment="1">
      <alignment horizontal="left" vertical="center"/>
    </xf>
    <xf numFmtId="0" fontId="60" fillId="23" borderId="12" xfId="0" applyFont="1" applyFill="1" applyBorder="1" applyAlignment="1">
      <alignment horizontal="left" vertical="center"/>
    </xf>
    <xf numFmtId="0" fontId="92" fillId="0" borderId="0" xfId="0" applyFont="1" applyAlignment="1" applyProtection="1">
      <alignment horizontal="left"/>
      <protection hidden="1"/>
    </xf>
    <xf numFmtId="0" fontId="24" fillId="7" borderId="65" xfId="0" applyFont="1" applyFill="1" applyBorder="1" applyAlignment="1" applyProtection="1">
      <alignment horizontal="center" vertical="center" wrapText="1" shrinkToFit="1"/>
      <protection hidden="1"/>
    </xf>
    <xf numFmtId="0" fontId="24" fillId="7" borderId="66" xfId="0" applyFont="1" applyFill="1" applyBorder="1" applyAlignment="1" applyProtection="1">
      <alignment horizontal="center" vertical="center" wrapText="1" shrinkToFit="1"/>
      <protection hidden="1"/>
    </xf>
    <xf numFmtId="0" fontId="24" fillId="7" borderId="67" xfId="0" applyFont="1" applyFill="1" applyBorder="1" applyAlignment="1" applyProtection="1">
      <alignment horizontal="center" vertical="center" wrapText="1" shrinkToFit="1"/>
      <protection hidden="1"/>
    </xf>
    <xf numFmtId="0" fontId="1" fillId="9" borderId="45" xfId="0" applyFont="1" applyFill="1" applyBorder="1" applyAlignment="1" applyProtection="1">
      <alignment horizontal="center"/>
      <protection hidden="1"/>
    </xf>
    <xf numFmtId="0" fontId="1" fillId="9" borderId="46" xfId="0" applyFont="1" applyFill="1" applyBorder="1" applyAlignment="1" applyProtection="1">
      <alignment horizontal="center"/>
      <protection hidden="1"/>
    </xf>
    <xf numFmtId="0" fontId="1" fillId="9" borderId="47" xfId="0" applyFont="1" applyFill="1" applyBorder="1" applyAlignment="1" applyProtection="1">
      <alignment horizontal="center"/>
      <protection hidden="1"/>
    </xf>
    <xf numFmtId="0" fontId="1" fillId="9" borderId="7" xfId="0" applyFont="1" applyFill="1" applyBorder="1" applyAlignment="1" applyProtection="1">
      <alignment horizontal="center"/>
      <protection hidden="1"/>
    </xf>
    <xf numFmtId="0" fontId="1" fillId="9" borderId="0" xfId="0" applyFont="1" applyFill="1" applyBorder="1" applyAlignment="1" applyProtection="1">
      <alignment horizontal="center"/>
      <protection hidden="1"/>
    </xf>
    <xf numFmtId="0" fontId="1" fillId="9" borderId="49" xfId="0" applyFont="1" applyFill="1" applyBorder="1" applyAlignment="1" applyProtection="1">
      <alignment horizontal="center"/>
      <protection hidden="1"/>
    </xf>
    <xf numFmtId="0" fontId="1" fillId="9" borderId="9" xfId="0" applyFont="1" applyFill="1" applyBorder="1" applyAlignment="1" applyProtection="1">
      <alignment horizontal="center"/>
      <protection hidden="1"/>
    </xf>
    <xf numFmtId="0" fontId="1" fillId="9" borderId="12" xfId="0" applyFont="1" applyFill="1" applyBorder="1" applyAlignment="1" applyProtection="1">
      <alignment horizontal="center"/>
      <protection hidden="1"/>
    </xf>
    <xf numFmtId="0" fontId="1" fillId="9" borderId="57" xfId="0" applyFont="1" applyFill="1" applyBorder="1" applyAlignment="1" applyProtection="1">
      <alignment horizontal="center"/>
      <protection hidden="1"/>
    </xf>
    <xf numFmtId="0" fontId="33" fillId="7" borderId="52" xfId="0" applyFont="1" applyFill="1" applyBorder="1" applyAlignment="1" applyProtection="1">
      <alignment horizontal="left" vertical="center" wrapText="1"/>
      <protection hidden="1"/>
    </xf>
    <xf numFmtId="0" fontId="33" fillId="7" borderId="11" xfId="0" applyFont="1" applyFill="1" applyBorder="1" applyAlignment="1" applyProtection="1">
      <alignment horizontal="left" vertical="center" wrapText="1"/>
      <protection hidden="1"/>
    </xf>
    <xf numFmtId="0" fontId="33" fillId="7" borderId="58" xfId="0" applyFont="1" applyFill="1" applyBorder="1" applyAlignment="1" applyProtection="1">
      <alignment horizontal="left" vertical="center" wrapText="1"/>
      <protection hidden="1"/>
    </xf>
    <xf numFmtId="14" fontId="0" fillId="0" borderId="0" xfId="0" applyNumberFormat="1" applyFill="1" applyAlignment="1" applyProtection="1">
      <protection hidden="1"/>
    </xf>
    <xf numFmtId="2" fontId="0" fillId="0" borderId="0" xfId="0" applyNumberFormat="1" applyFill="1" applyAlignment="1" applyProtection="1">
      <protection hidden="1"/>
    </xf>
    <xf numFmtId="14" fontId="92" fillId="18" borderId="0" xfId="0" applyNumberFormat="1" applyFont="1" applyFill="1" applyAlignment="1">
      <alignment horizontal="center" vertical="center"/>
    </xf>
  </cellXfs>
  <cellStyles count="5">
    <cellStyle name="Lien hypertexte" xfId="3" builtinId="8"/>
    <cellStyle name="Monétaire" xfId="1" builtinId="4"/>
    <cellStyle name="Normal" xfId="0" builtinId="0"/>
    <cellStyle name="Normal 2" xfId="4"/>
    <cellStyle name="Pourcentage" xfId="2" builtinId="5"/>
  </cellStyles>
  <dxfs count="155">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dxf>
    <dxf>
      <font>
        <b/>
        <i/>
        <color rgb="FFFF0000"/>
      </font>
      <fill>
        <patternFill>
          <bgColor rgb="FFFFC000"/>
        </patternFill>
      </fill>
    </dxf>
    <dxf>
      <font>
        <b/>
        <i/>
        <color rgb="FFFF0000"/>
      </font>
      <fill>
        <patternFill>
          <bgColor rgb="FFFFC000"/>
        </patternFill>
      </fill>
    </dxf>
    <dxf>
      <font>
        <b/>
        <i/>
        <color rgb="FFFF0000"/>
      </font>
      <fill>
        <patternFill>
          <bgColor rgb="FFFFC000"/>
        </patternFill>
      </fill>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theme="0"/>
      </font>
      <fill>
        <patternFill>
          <bgColor theme="0"/>
        </patternFill>
      </fill>
      <border>
        <left style="thin">
          <color theme="0"/>
        </left>
        <right style="thin">
          <color theme="0"/>
        </right>
        <top/>
        <bottom style="thin">
          <color theme="0"/>
        </bottom>
      </border>
    </dxf>
    <dxf>
      <font>
        <b/>
        <i val="0"/>
        <color theme="0"/>
      </font>
      <fill>
        <patternFill>
          <bgColor rgb="FF008000"/>
        </patternFill>
      </fill>
    </dxf>
    <dxf>
      <fill>
        <patternFill>
          <bgColor rgb="FFFFFF99"/>
        </patternFill>
      </fill>
    </dxf>
    <dxf>
      <fill>
        <patternFill>
          <bgColor theme="0" tint="-0.14996795556505021"/>
        </patternFill>
      </fill>
    </dxf>
    <dxf>
      <font>
        <color theme="0"/>
      </font>
      <fill>
        <patternFill>
          <bgColor theme="0"/>
        </patternFill>
      </fill>
    </dxf>
    <dxf>
      <fill>
        <patternFill>
          <bgColor rgb="FFFFFF99"/>
        </patternFill>
      </fill>
    </dxf>
    <dxf>
      <fill>
        <patternFill>
          <bgColor rgb="FFFFFF99"/>
        </patternFill>
      </fill>
    </dxf>
    <dxf>
      <font>
        <b/>
        <i val="0"/>
        <color rgb="FFFF0000"/>
      </font>
      <fill>
        <patternFill>
          <bgColor rgb="FFFFFF99"/>
        </patternFill>
      </fill>
    </dxf>
    <dxf>
      <font>
        <b/>
        <i val="0"/>
        <color rgb="FFFF0000"/>
      </font>
      <fill>
        <patternFill>
          <bgColor rgb="FFFFFF99"/>
        </patternFill>
      </fill>
    </dxf>
    <dxf>
      <font>
        <color theme="0"/>
      </font>
      <fill>
        <patternFill>
          <bgColor theme="0"/>
        </patternFill>
      </fill>
    </dxf>
    <dxf>
      <font>
        <b/>
        <i val="0"/>
        <color rgb="FFFF0000"/>
      </font>
      <fill>
        <patternFill>
          <bgColor rgb="FFFFFF99"/>
        </patternFill>
      </fill>
    </dxf>
    <dxf>
      <font>
        <color theme="0"/>
      </font>
      <fill>
        <patternFill>
          <bgColor theme="0"/>
        </patternFill>
      </fill>
    </dxf>
    <dxf>
      <font>
        <b/>
        <i val="0"/>
        <color rgb="FFFF0000"/>
      </font>
      <fill>
        <patternFill>
          <bgColor rgb="FFFFFF99"/>
        </patternFill>
      </fill>
    </dxf>
    <dxf>
      <font>
        <b/>
        <i val="0"/>
        <color rgb="FFFF0000"/>
      </font>
      <fill>
        <patternFill>
          <bgColor rgb="FFFFFF99"/>
        </patternFill>
      </fill>
    </dxf>
    <dxf>
      <font>
        <b/>
        <i val="0"/>
        <color rgb="FFFF0000"/>
      </font>
      <fill>
        <patternFill>
          <bgColor rgb="FFFFFF99"/>
        </patternFill>
      </fill>
    </dxf>
    <dxf>
      <font>
        <b/>
        <i val="0"/>
        <color rgb="FF008000"/>
      </font>
      <fill>
        <patternFill>
          <bgColor rgb="FFFFFF00"/>
        </patternFill>
      </fill>
    </dxf>
    <dxf>
      <font>
        <b/>
        <i/>
        <color rgb="FFFF0000"/>
      </font>
      <fill>
        <patternFill>
          <bgColor rgb="FFFFFF00"/>
        </patternFill>
      </fill>
    </dxf>
    <dxf>
      <font>
        <b/>
        <i val="0"/>
        <color rgb="FFFFFF00"/>
      </font>
      <fill>
        <patternFill>
          <bgColor rgb="FFFFFF00"/>
        </patternFill>
      </fill>
    </dxf>
    <dxf>
      <font>
        <color rgb="FFFFFF00"/>
      </font>
      <fill>
        <patternFill>
          <bgColor rgb="FFFFFF00"/>
        </patternFill>
      </fill>
    </dxf>
    <dxf>
      <font>
        <color rgb="FFFFFF00"/>
      </font>
      <fill>
        <patternFill>
          <bgColor rgb="FFFFFF00"/>
        </patternFill>
      </fill>
    </dxf>
    <dxf>
      <font>
        <b/>
        <i val="0"/>
        <color rgb="FFFFFF00"/>
      </font>
      <fill>
        <patternFill>
          <bgColor rgb="FFFFFF00"/>
        </patternFill>
      </fill>
    </dxf>
    <dxf>
      <font>
        <b/>
        <i val="0"/>
        <color rgb="FF008000"/>
      </font>
      <fill>
        <patternFill>
          <bgColor rgb="FFFFFF00"/>
        </patternFill>
      </fill>
    </dxf>
    <dxf>
      <font>
        <b/>
        <i/>
        <color rgb="FFFF0000"/>
      </font>
      <fill>
        <patternFill>
          <bgColor rgb="FFFFFF00"/>
        </patternFill>
      </fill>
    </dxf>
    <dxf>
      <font>
        <b val="0"/>
        <i val="0"/>
        <color theme="0"/>
      </font>
      <fill>
        <patternFill>
          <bgColor theme="0"/>
        </patternFill>
      </fill>
      <border>
        <left style="thin">
          <color theme="0"/>
        </left>
        <right style="thin">
          <color theme="0"/>
        </right>
        <top style="thin">
          <color theme="0"/>
        </top>
        <bottom style="thin">
          <color theme="0"/>
        </bottom>
        <vertical/>
        <horizontal/>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i/>
        <color rgb="FF008000"/>
      </font>
      <fill>
        <patternFill>
          <bgColor rgb="FFFFC000"/>
        </patternFill>
      </fill>
    </dxf>
    <dxf>
      <font>
        <b/>
        <i val="0"/>
        <color rgb="FFFF0000"/>
      </font>
      <fill>
        <patternFill>
          <bgColor rgb="FFFFFF00"/>
        </patternFill>
      </fill>
    </dxf>
    <dxf>
      <font>
        <color theme="1"/>
      </font>
      <fill>
        <patternFill>
          <bgColor theme="0"/>
        </patternFill>
      </fill>
    </dxf>
    <dxf>
      <font>
        <b/>
        <i/>
        <color rgb="FFFF0000"/>
      </font>
      <fill>
        <patternFill>
          <bgColor rgb="FFFFFF00"/>
        </patternFill>
      </fill>
    </dxf>
    <dxf>
      <font>
        <b/>
        <i val="0"/>
        <color rgb="FFFF0000"/>
      </font>
      <fill>
        <patternFill>
          <bgColor rgb="FFFFFF00"/>
        </patternFill>
      </fill>
    </dxf>
    <dxf>
      <font>
        <b/>
        <i val="0"/>
        <color rgb="FFFF0000"/>
      </font>
      <fill>
        <patternFill>
          <bgColor rgb="FFFFC000"/>
        </patternFill>
      </fill>
    </dxf>
    <dxf>
      <fill>
        <patternFill>
          <bgColor rgb="FFFFFF99"/>
        </patternFill>
      </fill>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color theme="0" tint="-0.34998626667073579"/>
      </font>
      <fill>
        <patternFill>
          <bgColor theme="0" tint="-0.34998626667073579"/>
        </patternFill>
      </fill>
    </dxf>
    <dxf>
      <fill>
        <patternFill>
          <bgColor rgb="FFFFFF99"/>
        </patternFill>
      </fill>
      <border>
        <left style="thin">
          <color auto="1"/>
        </left>
        <right style="thin">
          <color auto="1"/>
        </right>
        <top style="thin">
          <color auto="1"/>
        </top>
        <bottom style="thin">
          <color auto="1"/>
        </bottom>
      </border>
    </dxf>
    <dxf>
      <font>
        <color theme="1"/>
      </font>
      <fill>
        <patternFill>
          <bgColor theme="0"/>
        </patternFill>
      </fill>
      <border>
        <left style="thin">
          <color auto="1"/>
        </left>
        <right style="thin">
          <color auto="1"/>
        </right>
        <top style="thin">
          <color auto="1"/>
        </top>
        <bottom style="thin">
          <color auto="1"/>
        </bottom>
      </border>
    </dxf>
    <dxf>
      <font>
        <color theme="0" tint="-0.34998626667073579"/>
      </font>
      <fill>
        <patternFill>
          <bgColor theme="0" tint="-0.34998626667073579"/>
        </patternFill>
      </fill>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color rgb="FFFF0000"/>
      </font>
      <fill>
        <patternFill>
          <bgColor rgb="FFFFFF00"/>
        </patternFill>
      </fill>
    </dxf>
    <dxf>
      <font>
        <b/>
        <i/>
        <color rgb="FFFF0000"/>
      </font>
      <fill>
        <patternFill>
          <bgColor rgb="FFFFFF00"/>
        </patternFill>
      </fill>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color rgb="FFFF0000"/>
      </font>
      <fill>
        <patternFill>
          <bgColor rgb="FFFFFF00"/>
        </patternFill>
      </fill>
    </dxf>
    <dxf>
      <font>
        <b/>
        <i val="0"/>
        <color auto="1"/>
      </font>
      <fill>
        <patternFill>
          <bgColor theme="0"/>
        </patternFill>
      </fill>
      <border>
        <left style="thin">
          <color auto="1"/>
        </left>
        <right style="thin">
          <color auto="1"/>
        </right>
        <top style="thin">
          <color auto="1"/>
        </top>
        <bottom style="thin">
          <color auto="1"/>
        </bottom>
        <vertical/>
        <horizontal/>
      </border>
    </dxf>
    <dxf>
      <font>
        <b/>
        <i/>
        <color rgb="FFFF0000"/>
      </font>
    </dxf>
    <dxf>
      <font>
        <b/>
        <i/>
        <color rgb="FFFF0000"/>
      </font>
    </dxf>
    <dxf>
      <font>
        <b/>
        <i/>
        <color rgb="FFFF0000"/>
      </font>
    </dxf>
    <dxf>
      <font>
        <color theme="0"/>
      </font>
      <fill>
        <patternFill>
          <bgColor theme="0"/>
        </patternFill>
      </fill>
      <border>
        <left/>
        <right/>
        <top/>
        <bottom/>
        <vertical/>
        <horizontal/>
      </border>
    </dxf>
    <dxf>
      <font>
        <color theme="0"/>
      </font>
      <fill>
        <patternFill>
          <bgColor theme="0"/>
        </patternFill>
      </fill>
      <border>
        <vertical/>
        <horizontal/>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color rgb="FFFF0000"/>
      </font>
      <fill>
        <patternFill>
          <bgColor rgb="FFFFFF00"/>
        </patternFill>
      </fill>
    </dxf>
    <dxf>
      <font>
        <b/>
        <i/>
        <color rgb="FFFF0000"/>
      </font>
      <fill>
        <patternFill>
          <bgColor rgb="FFFFFF00"/>
        </patternFill>
      </fill>
    </dxf>
    <dxf>
      <font>
        <b/>
        <i/>
        <color rgb="FFFF0000"/>
      </font>
      <fill>
        <patternFill>
          <bgColor rgb="FFFFFF00"/>
        </patternFill>
      </fill>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theme="0" tint="-0.14996795556505021"/>
      </font>
    </dxf>
    <dxf>
      <font>
        <b/>
        <i val="0"/>
        <color rgb="FF0070C0"/>
      </font>
    </dxf>
    <dxf>
      <font>
        <b/>
        <i val="0"/>
        <color rgb="FFFF0000"/>
      </font>
    </dxf>
    <dxf>
      <font>
        <color theme="1"/>
      </font>
      <fill>
        <patternFill>
          <bgColor theme="0"/>
        </patternFill>
      </fill>
      <border>
        <left style="thin">
          <color auto="1"/>
        </left>
        <right style="thin">
          <color auto="1"/>
        </right>
        <top style="thin">
          <color auto="1"/>
        </top>
        <bottom style="thin">
          <color auto="1"/>
        </bottom>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color auto="1"/>
      </font>
      <fill>
        <patternFill>
          <bgColor rgb="FFFFFF99"/>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color auto="1"/>
      </font>
      <fill>
        <patternFill>
          <bgColor rgb="FFFFFF99"/>
        </patternFill>
      </fill>
      <border>
        <left style="thin">
          <color auto="1"/>
        </left>
        <right style="thin">
          <color auto="1"/>
        </right>
        <top style="thin">
          <color auto="1"/>
        </top>
        <bottom style="thin">
          <color auto="1"/>
        </bottom>
      </border>
    </dxf>
    <dxf>
      <font>
        <b val="0"/>
        <i val="0"/>
        <color theme="1"/>
      </font>
      <fill>
        <patternFill>
          <bgColor theme="0"/>
        </patternFill>
      </fill>
      <border>
        <left style="thin">
          <color auto="1"/>
        </left>
        <right style="thin">
          <color auto="1"/>
        </right>
        <top style="thin">
          <color auto="1"/>
        </top>
        <bottom style="thin">
          <color auto="1"/>
        </bottom>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ill>
        <patternFill>
          <bgColor rgb="FFFFFF99"/>
        </patternFill>
      </fill>
    </dxf>
    <dxf>
      <fill>
        <patternFill>
          <bgColor theme="0"/>
        </patternFill>
      </fill>
    </dxf>
    <dxf>
      <fill>
        <patternFill>
          <bgColor rgb="FFFFFF99"/>
        </patternFill>
      </fill>
    </dxf>
    <dxf>
      <fill>
        <patternFill>
          <bgColor theme="0"/>
        </patternFill>
      </fill>
    </dxf>
    <dxf>
      <fill>
        <patternFill>
          <bgColor rgb="FFFFFF99"/>
        </patternFill>
      </fill>
    </dxf>
    <dxf>
      <fill>
        <patternFill>
          <bgColor theme="0"/>
        </patternFill>
      </fill>
    </dxf>
    <dxf>
      <fill>
        <patternFill>
          <bgColor rgb="FFFFFF99"/>
        </patternFill>
      </fill>
    </dxf>
    <dxf>
      <fill>
        <patternFill>
          <bgColor theme="0"/>
        </patternFill>
      </fill>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ill>
        <patternFill>
          <bgColor rgb="FFFFFF99"/>
        </patternFill>
      </fill>
    </dxf>
    <dxf>
      <fill>
        <patternFill>
          <bgColor rgb="FFFFFF99"/>
        </patternFill>
      </fill>
    </dxf>
    <dxf>
      <font>
        <b val="0"/>
        <i val="0"/>
      </font>
      <fill>
        <patternFill>
          <bgColor theme="0"/>
        </patternFill>
      </fill>
      <border>
        <left style="thin">
          <color auto="1"/>
        </left>
        <right style="thin">
          <color auto="1"/>
        </right>
        <top style="thin">
          <color auto="1"/>
        </top>
        <bottom style="thin">
          <color auto="1"/>
        </bottom>
        <vertical/>
        <horizontal/>
      </border>
    </dxf>
    <dxf>
      <fill>
        <patternFill>
          <bgColor rgb="FFFFFF99"/>
        </patternFill>
      </fill>
    </dxf>
    <dxf>
      <font>
        <b val="0"/>
        <i val="0"/>
      </font>
      <fill>
        <patternFill>
          <bgColor theme="0"/>
        </patternFill>
      </fill>
      <border>
        <left style="thin">
          <color auto="1"/>
        </left>
        <right style="thin">
          <color auto="1"/>
        </right>
        <top style="thin">
          <color auto="1"/>
        </top>
        <bottom style="thin">
          <color auto="1"/>
        </bottom>
        <vertical/>
        <horizontal/>
      </border>
    </dxf>
    <dxf>
      <fill>
        <patternFill>
          <bgColor rgb="FFFFFF99"/>
        </patternFill>
      </fill>
    </dxf>
    <dxf>
      <font>
        <b val="0"/>
        <i val="0"/>
      </font>
      <fill>
        <patternFill>
          <bgColor theme="0"/>
        </patternFill>
      </fill>
      <border>
        <left style="thin">
          <color auto="1"/>
        </left>
        <right style="thin">
          <color auto="1"/>
        </right>
        <top style="thin">
          <color auto="1"/>
        </top>
        <bottom style="thin">
          <color auto="1"/>
        </bottom>
        <vertical/>
        <horizontal/>
      </border>
    </dxf>
    <dxf>
      <fill>
        <patternFill>
          <bgColor rgb="FFFFFF99"/>
        </patternFill>
      </fill>
    </dxf>
    <dxf>
      <font>
        <color auto="1"/>
      </font>
      <fill>
        <patternFill>
          <bgColor theme="0"/>
        </patternFill>
      </fill>
      <border>
        <left style="thin">
          <color auto="1"/>
        </left>
        <right style="thin">
          <color auto="1"/>
        </right>
        <top style="thin">
          <color auto="1"/>
        </top>
        <bottom style="thin">
          <color auto="1"/>
        </bottom>
        <vertical/>
        <horizontal/>
      </border>
    </dxf>
    <dxf>
      <fill>
        <patternFill>
          <bgColor theme="0"/>
        </patternFill>
      </fill>
    </dxf>
    <dxf>
      <fill>
        <patternFill>
          <bgColor theme="0"/>
        </patternFill>
      </fill>
    </dxf>
    <dxf>
      <fill>
        <patternFill>
          <bgColor rgb="FFFFFF99"/>
        </patternFill>
      </fill>
    </dxf>
    <dxf>
      <fill>
        <patternFill>
          <bgColor rgb="FFFFFF99"/>
        </patternFill>
      </fill>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color theme="0" tint="-0.34998626667073579"/>
      </font>
      <fill>
        <patternFill>
          <bgColor theme="0" tint="-0.34998626667073579"/>
        </patternFill>
      </fill>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i/>
        <color rgb="FFFF0000"/>
      </font>
      <fill>
        <patternFill>
          <bgColor rgb="FFFFFF00"/>
        </patternFill>
      </fill>
    </dxf>
    <dxf>
      <font>
        <color auto="1"/>
      </font>
      <fill>
        <patternFill>
          <bgColor theme="0"/>
        </patternFill>
      </fill>
      <border>
        <left style="thin">
          <color auto="1"/>
        </left>
        <right style="thin">
          <color auto="1"/>
        </right>
        <top style="thin">
          <color auto="1"/>
        </top>
        <bottom style="thin">
          <color auto="1"/>
        </bottom>
      </border>
    </dxf>
    <dxf>
      <font>
        <color theme="1"/>
      </font>
      <fill>
        <patternFill patternType="solid">
          <bgColor theme="0"/>
        </patternFill>
      </fill>
      <border>
        <left style="thin">
          <color auto="1"/>
        </left>
        <right style="thin">
          <color auto="1"/>
        </right>
        <top style="thin">
          <color auto="1"/>
        </top>
        <bottom style="thin">
          <color auto="1"/>
        </bottom>
      </border>
    </dxf>
    <dxf>
      <fill>
        <patternFill>
          <bgColor rgb="FFFFFF99"/>
        </patternFill>
      </fill>
    </dxf>
    <dxf>
      <fill>
        <patternFill patternType="solid">
          <bgColor rgb="FFEAEAEA"/>
        </patternFill>
      </fill>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i/>
        <color rgb="FFFF0000"/>
      </font>
      <fill>
        <patternFill>
          <bgColor rgb="FFFFFF00"/>
        </patternFill>
      </fill>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ill>
        <patternFill>
          <bgColor rgb="FFFFFF99"/>
        </patternFill>
      </fill>
    </dxf>
    <dxf>
      <fill>
        <patternFill>
          <bgColor rgb="FFFFFF99"/>
        </patternFill>
      </fill>
    </dxf>
    <dxf>
      <fill>
        <patternFill>
          <bgColor rgb="FFFFFF99"/>
        </patternFill>
      </fill>
    </dxf>
    <dxf>
      <fill>
        <patternFill>
          <bgColor theme="0"/>
        </patternFill>
      </fill>
    </dxf>
    <dxf>
      <font>
        <b/>
        <i/>
        <color rgb="FFFF0000"/>
      </font>
      <fill>
        <patternFill>
          <bgColor rgb="FFFFFF00"/>
        </patternFill>
      </fill>
    </dxf>
    <dxf>
      <fill>
        <patternFill>
          <bgColor rgb="FFFFFF99"/>
        </patternFill>
      </fill>
    </dxf>
    <dxf>
      <fill>
        <patternFill>
          <bgColor theme="0"/>
        </patternFill>
      </fill>
    </dxf>
    <dxf>
      <fill>
        <patternFill>
          <bgColor rgb="FFFFFF99"/>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patternFill>
      </fill>
      <border>
        <left style="thin">
          <color auto="1"/>
        </left>
        <right style="thin">
          <color auto="1"/>
        </right>
        <top style="thin">
          <color auto="1"/>
        </top>
        <bottom style="thin">
          <color auto="1"/>
        </bottom>
      </border>
    </dxf>
    <dxf>
      <fill>
        <patternFill>
          <bgColor rgb="FFFFFF99"/>
        </patternFill>
      </fill>
      <border>
        <left style="thin">
          <color auto="1"/>
        </left>
        <right style="thin">
          <color auto="1"/>
        </right>
        <top style="thin">
          <color auto="1"/>
        </top>
        <bottom style="thin">
          <color auto="1"/>
        </bottom>
      </border>
    </dxf>
    <dxf>
      <font>
        <color theme="1"/>
      </font>
      <fill>
        <patternFill>
          <bgColor theme="0"/>
        </patternFill>
      </fill>
      <border>
        <left style="thin">
          <color auto="1"/>
        </left>
        <right style="thin">
          <color auto="1"/>
        </right>
        <top style="thin">
          <color auto="1"/>
        </top>
        <bottom style="thin">
          <color auto="1"/>
        </bottom>
      </border>
    </dxf>
    <dxf>
      <font>
        <color theme="1"/>
      </font>
      <fill>
        <patternFill>
          <bgColor rgb="FFFFFF99"/>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rgb="FFFFFF99"/>
        </patternFill>
      </fill>
      <border>
        <left style="thin">
          <color auto="1"/>
        </left>
        <right style="thin">
          <color auto="1"/>
        </right>
        <top style="thin">
          <color auto="1"/>
        </top>
        <bottom style="thin">
          <color auto="1"/>
        </bottom>
      </border>
    </dxf>
    <dxf>
      <fill>
        <patternFill>
          <bgColor theme="0"/>
        </patternFill>
      </fill>
    </dxf>
    <dxf>
      <fill>
        <patternFill>
          <bgColor rgb="FFFFFF99"/>
        </patternFill>
      </fill>
    </dxf>
    <dxf>
      <font>
        <b val="0"/>
        <i val="0"/>
        <color theme="0" tint="-0.34998626667073579"/>
      </font>
      <fill>
        <patternFill>
          <bgColor theme="0" tint="-0.34998626667073579"/>
        </patternFill>
      </fill>
      <border>
        <left style="thin">
          <color theme="0" tint="-0.34998626667073579"/>
        </left>
        <right style="thin">
          <color theme="0" tint="-0.34998626667073579"/>
        </right>
        <top style="thin">
          <color theme="0" tint="-0.34998626667073579"/>
        </top>
        <bottom style="thin">
          <color theme="0" tint="-0.34998626667073579"/>
        </bottom>
      </border>
    </dxf>
    <dxf>
      <font>
        <b val="0"/>
        <i val="0"/>
        <color theme="1"/>
      </font>
      <fill>
        <patternFill>
          <bgColor theme="0"/>
        </patternFill>
      </fill>
    </dxf>
    <dxf>
      <font>
        <b/>
        <i val="0"/>
        <color rgb="FF008000"/>
      </font>
    </dxf>
  </dxfs>
  <tableStyles count="0" defaultTableStyle="TableStyleMedium9" defaultPivotStyle="PivotStyleLight16"/>
  <colors>
    <mruColors>
      <color rgb="FF008000"/>
      <color rgb="FFFFFF99"/>
      <color rgb="FFFFFF66"/>
      <color rgb="FFDDDDDD"/>
      <color rgb="FFECECEC"/>
      <color rgb="FFEAEAEA"/>
      <color rgb="FF99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http://www.economie.gouv.fr/prelevement-a-la-source" TargetMode="External"/><Relationship Id="rId3" Type="http://schemas.openxmlformats.org/officeDocument/2006/relationships/hyperlink" Target="http://www.excel-pratique.com/fr/index.php" TargetMode="External"/><Relationship Id="rId7" Type="http://schemas.openxmlformats.org/officeDocument/2006/relationships/hyperlink" Target="http://www.excel-pratique.com/fr/telechargements/auteur-408.php" TargetMode="External"/><Relationship Id="rId2" Type="http://schemas.openxmlformats.org/officeDocument/2006/relationships/image" Target="../media/image1.png"/><Relationship Id="rId1" Type="http://schemas.openxmlformats.org/officeDocument/2006/relationships/hyperlink" Target="https://cfspart.impots.gouv.fr/LoginMDP?op=c&amp;url=aHR0cHM6Ly9jZnNwYXJ0LmltcG90cy5nb3V2LmZyL3BvcnRhbC9kZ2kvcHVibGljL3BlcnNvP3BhZ2VJZD1wbmEycGFyJnNmaWQ9MzA=" TargetMode="External"/><Relationship Id="rId6" Type="http://schemas.openxmlformats.org/officeDocument/2006/relationships/hyperlink" Target="http://www.excel-pratique.com/fr/telechargements/download.php?id=255" TargetMode="External"/><Relationship Id="rId5" Type="http://schemas.openxmlformats.org/officeDocument/2006/relationships/image" Target="../media/image3.png"/><Relationship Id="rId4" Type="http://schemas.openxmlformats.org/officeDocument/2006/relationships/image" Target="../media/image2.png"/><Relationship Id="rId9"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hyperlink" Target="http://www.service-public.fr/" TargetMode="External"/><Relationship Id="rId1" Type="http://schemas.openxmlformats.org/officeDocument/2006/relationships/hyperlink" Target="#'simul impots'!A60"/><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hyperlink" Target="http://fr.mappy.com/#/6/M2/TItineraryHome/N151.12061,6.11309,-1.56756,47.23909/Z9/" TargetMode="External"/></Relationships>
</file>

<file path=xl/drawings/_rels/drawing3.xml.rels><?xml version="1.0" encoding="UTF-8" standalone="yes"?>
<Relationships xmlns="http://schemas.openxmlformats.org/package/2006/relationships"><Relationship Id="rId3" Type="http://schemas.openxmlformats.org/officeDocument/2006/relationships/hyperlink" Target="#'simul impots'!A1"/><Relationship Id="rId2" Type="http://schemas.openxmlformats.org/officeDocument/2006/relationships/image" Target="../media/image8.png"/><Relationship Id="rId1" Type="http://schemas.openxmlformats.org/officeDocument/2006/relationships/hyperlink" Target="#'Frais R&#233;els - d&#233;tails'!A1"/></Relationships>
</file>

<file path=xl/drawings/_rels/drawing4.xml.rels><?xml version="1.0" encoding="UTF-8" standalone="yes"?>
<Relationships xmlns="http://schemas.openxmlformats.org/package/2006/relationships"><Relationship Id="rId3" Type="http://schemas.openxmlformats.org/officeDocument/2006/relationships/hyperlink" Target="#Admin!A1"/><Relationship Id="rId2" Type="http://schemas.openxmlformats.org/officeDocument/2006/relationships/image" Target="../media/image5.png"/><Relationship Id="rId1" Type="http://schemas.openxmlformats.org/officeDocument/2006/relationships/hyperlink" Target="http://www.service-public.fr/" TargetMode="External"/><Relationship Id="rId4" Type="http://schemas.openxmlformats.org/officeDocument/2006/relationships/hyperlink" Target="#Admin!A1"/></Relationships>
</file>

<file path=xl/drawings/drawing1.xml><?xml version="1.0" encoding="utf-8"?>
<xdr:wsDr xmlns:xdr="http://schemas.openxmlformats.org/drawingml/2006/spreadsheetDrawing" xmlns:a="http://schemas.openxmlformats.org/drawingml/2006/main">
  <xdr:twoCellAnchor editAs="oneCell">
    <xdr:from>
      <xdr:col>7</xdr:col>
      <xdr:colOff>76200</xdr:colOff>
      <xdr:row>0</xdr:row>
      <xdr:rowOff>85725</xdr:rowOff>
    </xdr:from>
    <xdr:to>
      <xdr:col>7</xdr:col>
      <xdr:colOff>1343025</xdr:colOff>
      <xdr:row>1</xdr:row>
      <xdr:rowOff>122410</xdr:rowOff>
    </xdr:to>
    <xdr:pic>
      <xdr:nvPicPr>
        <xdr:cNvPr id="2" name="Picture 3">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6648450" y="85725"/>
          <a:ext cx="1266825" cy="351010"/>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0</xdr:col>
      <xdr:colOff>19050</xdr:colOff>
      <xdr:row>76</xdr:row>
      <xdr:rowOff>66675</xdr:rowOff>
    </xdr:from>
    <xdr:to>
      <xdr:col>0</xdr:col>
      <xdr:colOff>1057275</xdr:colOff>
      <xdr:row>76</xdr:row>
      <xdr:rowOff>142875</xdr:rowOff>
    </xdr:to>
    <xdr:sp macro="[0]!AfficheTousOnglets" textlink="">
      <xdr:nvSpPr>
        <xdr:cNvPr id="3" name="Rectangle à coins arrondis 2"/>
        <xdr:cNvSpPr/>
      </xdr:nvSpPr>
      <xdr:spPr>
        <a:xfrm>
          <a:off x="19050" y="20031075"/>
          <a:ext cx="1038225" cy="762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7</xdr:col>
      <xdr:colOff>1876425</xdr:colOff>
      <xdr:row>74</xdr:row>
      <xdr:rowOff>37272</xdr:rowOff>
    </xdr:from>
    <xdr:to>
      <xdr:col>7</xdr:col>
      <xdr:colOff>3095625</xdr:colOff>
      <xdr:row>75</xdr:row>
      <xdr:rowOff>164824</xdr:rowOff>
    </xdr:to>
    <xdr:pic>
      <xdr:nvPicPr>
        <xdr:cNvPr id="5" name="Picture 1">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srcRect/>
        <a:stretch>
          <a:fillRect/>
        </a:stretch>
      </xdr:blipFill>
      <xdr:spPr bwMode="auto">
        <a:xfrm>
          <a:off x="8448675" y="19296822"/>
          <a:ext cx="1219200" cy="318052"/>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twoCellAnchor editAs="oneCell">
    <xdr:from>
      <xdr:col>7</xdr:col>
      <xdr:colOff>29424</xdr:colOff>
      <xdr:row>75</xdr:row>
      <xdr:rowOff>152400</xdr:rowOff>
    </xdr:from>
    <xdr:to>
      <xdr:col>7</xdr:col>
      <xdr:colOff>333374</xdr:colOff>
      <xdr:row>76</xdr:row>
      <xdr:rowOff>247649</xdr:rowOff>
    </xdr:to>
    <xdr:pic macro="[0]!VERIFMAJ">
      <xdr:nvPicPr>
        <xdr:cNvPr id="1058" name="Picture 34" descr="C:\Users\Steven\AppData\Local\Microsoft\Windows\INetCache\IE\71NYDPW2\egore911-recycling[1].png"/>
        <xdr:cNvPicPr>
          <a:picLocks noChangeAspect="1" noChangeArrowheads="1"/>
        </xdr:cNvPicPr>
      </xdr:nvPicPr>
      <xdr:blipFill>
        <a:blip xmlns:r="http://schemas.openxmlformats.org/officeDocument/2006/relationships" r:embed="rId5" cstate="print"/>
        <a:srcRect/>
        <a:stretch>
          <a:fillRect/>
        </a:stretch>
      </xdr:blipFill>
      <xdr:spPr bwMode="auto">
        <a:xfrm>
          <a:off x="6601674" y="19926300"/>
          <a:ext cx="303950" cy="285749"/>
        </a:xfrm>
        <a:prstGeom prst="rect">
          <a:avLst/>
        </a:prstGeom>
        <a:noFill/>
      </xdr:spPr>
    </xdr:pic>
    <xdr:clientData/>
  </xdr:twoCellAnchor>
  <xdr:twoCellAnchor>
    <xdr:from>
      <xdr:col>7</xdr:col>
      <xdr:colOff>1047750</xdr:colOff>
      <xdr:row>74</xdr:row>
      <xdr:rowOff>85725</xdr:rowOff>
    </xdr:from>
    <xdr:to>
      <xdr:col>7</xdr:col>
      <xdr:colOff>1238250</xdr:colOff>
      <xdr:row>75</xdr:row>
      <xdr:rowOff>149225</xdr:rowOff>
    </xdr:to>
    <xdr:sp macro="" textlink="" fLocksText="0">
      <xdr:nvSpPr>
        <xdr:cNvPr id="7" name="Flèche vers le bas 6">
          <a:hlinkClick xmlns:r="http://schemas.openxmlformats.org/officeDocument/2006/relationships" r:id="rId6"/>
        </xdr:cNvPr>
        <xdr:cNvSpPr/>
      </xdr:nvSpPr>
      <xdr:spPr>
        <a:xfrm>
          <a:off x="7620000" y="19431000"/>
          <a:ext cx="190500" cy="254000"/>
        </a:xfrm>
        <a:prstGeom prst="downArrow">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fr-FR" sz="1100"/>
        </a:p>
      </xdr:txBody>
    </xdr:sp>
    <xdr:clientData fLocksWithSheet="0"/>
  </xdr:twoCellAnchor>
  <xdr:twoCellAnchor>
    <xdr:from>
      <xdr:col>7</xdr:col>
      <xdr:colOff>523875</xdr:colOff>
      <xdr:row>74</xdr:row>
      <xdr:rowOff>38100</xdr:rowOff>
    </xdr:from>
    <xdr:to>
      <xdr:col>7</xdr:col>
      <xdr:colOff>1781175</xdr:colOff>
      <xdr:row>75</xdr:row>
      <xdr:rowOff>161925</xdr:rowOff>
    </xdr:to>
    <xdr:sp macro="" textlink="">
      <xdr:nvSpPr>
        <xdr:cNvPr id="9" name="Rectangle à coins arrondis 8">
          <a:hlinkClick xmlns:r="http://schemas.openxmlformats.org/officeDocument/2006/relationships" r:id="rId7"/>
        </xdr:cNvPr>
        <xdr:cNvSpPr/>
      </xdr:nvSpPr>
      <xdr:spPr>
        <a:xfrm>
          <a:off x="7096125" y="19621500"/>
          <a:ext cx="1257300" cy="3143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000" b="1"/>
            <a:t>Mes</a:t>
          </a:r>
          <a:r>
            <a:rPr lang="fr-FR" sz="1000" b="1" baseline="0"/>
            <a:t> Autres Fichiers</a:t>
          </a:r>
          <a:endParaRPr lang="fr-FR" sz="1000" b="1"/>
        </a:p>
      </xdr:txBody>
    </xdr:sp>
    <xdr:clientData/>
  </xdr:twoCellAnchor>
  <xdr:twoCellAnchor editAs="oneCell">
    <xdr:from>
      <xdr:col>7</xdr:col>
      <xdr:colOff>1476374</xdr:colOff>
      <xdr:row>0</xdr:row>
      <xdr:rowOff>152401</xdr:rowOff>
    </xdr:from>
    <xdr:to>
      <xdr:col>7</xdr:col>
      <xdr:colOff>3228973</xdr:colOff>
      <xdr:row>1</xdr:row>
      <xdr:rowOff>14040</xdr:rowOff>
    </xdr:to>
    <xdr:pic>
      <xdr:nvPicPr>
        <xdr:cNvPr id="1062" name="Picture 38">
          <a:hlinkClick xmlns:r="http://schemas.openxmlformats.org/officeDocument/2006/relationships" r:id="rId8"/>
        </xdr:cNvPr>
        <xdr:cNvPicPr>
          <a:picLocks noChangeAspect="1" noChangeArrowheads="1"/>
        </xdr:cNvPicPr>
      </xdr:nvPicPr>
      <xdr:blipFill>
        <a:blip xmlns:r="http://schemas.openxmlformats.org/officeDocument/2006/relationships" r:embed="rId9" cstate="print"/>
        <a:srcRect/>
        <a:stretch>
          <a:fillRect/>
        </a:stretch>
      </xdr:blipFill>
      <xdr:spPr bwMode="auto">
        <a:xfrm>
          <a:off x="8048624" y="152401"/>
          <a:ext cx="1752599" cy="175964"/>
        </a:xfrm>
        <a:prstGeom prst="roundRect">
          <a:avLst>
            <a:gd name="adj" fmla="val 4167"/>
          </a:avLst>
        </a:prstGeom>
        <a:solidFill>
          <a:srgbClr val="FFFFFF"/>
        </a:solidFill>
        <a:ln w="76200" cap="sq">
          <a:solidFill>
            <a:srgbClr val="EAEAEA"/>
          </a:solidFill>
          <a:miter lim="800000"/>
        </a:ln>
        <a:effectLst>
          <a:reflection blurRad="12700" stA="33000" endPos="28000" dist="5000" dir="5400000" sy="-100000" algn="bl" rotWithShape="0"/>
        </a:effectLst>
        <a:scene3d>
          <a:camera prst="orthographicFront"/>
          <a:lightRig rig="threePt" dir="t">
            <a:rot lat="0" lon="0" rev="2700000"/>
          </a:lightRig>
        </a:scene3d>
        <a:sp3d contourW="6350">
          <a:bevelT h="38100"/>
          <a:contourClr>
            <a:srgbClr val="C0C0C0"/>
          </a:contourClr>
        </a:sp3d>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203199</xdr:colOff>
      <xdr:row>40</xdr:row>
      <xdr:rowOff>45508</xdr:rowOff>
    </xdr:from>
    <xdr:to>
      <xdr:col>10</xdr:col>
      <xdr:colOff>687916</xdr:colOff>
      <xdr:row>42</xdr:row>
      <xdr:rowOff>148166</xdr:rowOff>
    </xdr:to>
    <xdr:sp macro="" textlink="">
      <xdr:nvSpPr>
        <xdr:cNvPr id="2" name="Rectangle à coins arrondis 1">
          <a:hlinkClick xmlns:r="http://schemas.openxmlformats.org/officeDocument/2006/relationships" r:id="rId1"/>
        </xdr:cNvPr>
        <xdr:cNvSpPr/>
      </xdr:nvSpPr>
      <xdr:spPr>
        <a:xfrm>
          <a:off x="7643282" y="6638925"/>
          <a:ext cx="1246717" cy="483658"/>
        </a:xfrm>
        <a:prstGeom prst="roundRect">
          <a:avLst/>
        </a:prstGeom>
        <a:no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endParaRPr lang="fr-FR" sz="1100" b="1"/>
        </a:p>
      </xdr:txBody>
    </xdr:sp>
    <xdr:clientData/>
  </xdr:twoCellAnchor>
  <xdr:twoCellAnchor editAs="oneCell">
    <xdr:from>
      <xdr:col>3</xdr:col>
      <xdr:colOff>62442</xdr:colOff>
      <xdr:row>50</xdr:row>
      <xdr:rowOff>116417</xdr:rowOff>
    </xdr:from>
    <xdr:to>
      <xdr:col>5</xdr:col>
      <xdr:colOff>1300958</xdr:colOff>
      <xdr:row>52</xdr:row>
      <xdr:rowOff>175683</xdr:rowOff>
    </xdr:to>
    <xdr:pic>
      <xdr:nvPicPr>
        <xdr:cNvPr id="2052" name="Picture 4">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srcRect/>
        <a:stretch>
          <a:fillRect/>
        </a:stretch>
      </xdr:blipFill>
      <xdr:spPr bwMode="auto">
        <a:xfrm>
          <a:off x="2475442" y="10509250"/>
          <a:ext cx="2667266" cy="472016"/>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twoCellAnchor editAs="oneCell">
    <xdr:from>
      <xdr:col>7</xdr:col>
      <xdr:colOff>476250</xdr:colOff>
      <xdr:row>8</xdr:row>
      <xdr:rowOff>52915</xdr:rowOff>
    </xdr:from>
    <xdr:to>
      <xdr:col>9</xdr:col>
      <xdr:colOff>433917</xdr:colOff>
      <xdr:row>9</xdr:row>
      <xdr:rowOff>185565</xdr:rowOff>
    </xdr:to>
    <xdr:pic>
      <xdr:nvPicPr>
        <xdr:cNvPr id="2066" name="Picture 18">
          <a:hlinkClick xmlns:r="http://schemas.openxmlformats.org/officeDocument/2006/relationships" r:id="rId4"/>
        </xdr:cNvPr>
        <xdr:cNvPicPr>
          <a:picLocks noChangeAspect="1" noChangeArrowheads="1"/>
        </xdr:cNvPicPr>
      </xdr:nvPicPr>
      <xdr:blipFill>
        <a:blip xmlns:r="http://schemas.openxmlformats.org/officeDocument/2006/relationships" r:embed="rId5" cstate="print"/>
        <a:srcRect/>
        <a:stretch>
          <a:fillRect/>
        </a:stretch>
      </xdr:blipFill>
      <xdr:spPr bwMode="auto">
        <a:xfrm>
          <a:off x="6413500" y="2031998"/>
          <a:ext cx="1492250" cy="323150"/>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twoCellAnchor editAs="oneCell">
    <xdr:from>
      <xdr:col>0</xdr:col>
      <xdr:colOff>31750</xdr:colOff>
      <xdr:row>0</xdr:row>
      <xdr:rowOff>0</xdr:rowOff>
    </xdr:from>
    <xdr:to>
      <xdr:col>0</xdr:col>
      <xdr:colOff>533724</xdr:colOff>
      <xdr:row>1</xdr:row>
      <xdr:rowOff>0</xdr:rowOff>
    </xdr:to>
    <xdr:pic macro="[0]!INFO_FRAIS_REELS">
      <xdr:nvPicPr>
        <xdr:cNvPr id="2073" name="Picture 25" descr="C:\Users\Steven\AppData\Local\Microsoft\Windows\INetCache\IE\D3YI6GCA\200px-Bulbgraph.svg[1].png"/>
        <xdr:cNvPicPr>
          <a:picLocks noChangeAspect="1" noChangeArrowheads="1"/>
        </xdr:cNvPicPr>
      </xdr:nvPicPr>
      <xdr:blipFill>
        <a:blip xmlns:r="http://schemas.openxmlformats.org/officeDocument/2006/relationships" r:embed="rId6" cstate="print"/>
        <a:srcRect/>
        <a:stretch>
          <a:fillRect/>
        </a:stretch>
      </xdr:blipFill>
      <xdr:spPr bwMode="auto">
        <a:xfrm>
          <a:off x="31750" y="0"/>
          <a:ext cx="501974" cy="613833"/>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211906</xdr:colOff>
      <xdr:row>0</xdr:row>
      <xdr:rowOff>129779</xdr:rowOff>
    </xdr:from>
    <xdr:to>
      <xdr:col>0</xdr:col>
      <xdr:colOff>621481</xdr:colOff>
      <xdr:row>0</xdr:row>
      <xdr:rowOff>705055</xdr:rowOff>
    </xdr:to>
    <xdr:sp macro="" textlink="">
      <xdr:nvSpPr>
        <xdr:cNvPr id="2" name="Flèche courbée vers le haut 1">
          <a:hlinkClick xmlns:r="http://schemas.openxmlformats.org/officeDocument/2006/relationships" r:id="rId1"/>
        </xdr:cNvPr>
        <xdr:cNvSpPr/>
      </xdr:nvSpPr>
      <xdr:spPr>
        <a:xfrm rot="17124007">
          <a:off x="129056" y="212629"/>
          <a:ext cx="575276" cy="409575"/>
        </a:xfrm>
        <a:prstGeom prst="curvedUpArrow">
          <a:avLst>
            <a:gd name="adj1" fmla="val 28141"/>
            <a:gd name="adj2" fmla="val 50000"/>
            <a:gd name="adj3" fmla="val 37835"/>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endParaRPr lang="fr-FR" sz="1100"/>
        </a:p>
      </xdr:txBody>
    </xdr:sp>
    <xdr:clientData fPrintsWithSheet="0"/>
  </xdr:twoCellAnchor>
  <xdr:twoCellAnchor>
    <xdr:from>
      <xdr:col>3</xdr:col>
      <xdr:colOff>63051</xdr:colOff>
      <xdr:row>19</xdr:row>
      <xdr:rowOff>69354</xdr:rowOff>
    </xdr:from>
    <xdr:to>
      <xdr:col>3</xdr:col>
      <xdr:colOff>666750</xdr:colOff>
      <xdr:row>19</xdr:row>
      <xdr:rowOff>115073</xdr:rowOff>
    </xdr:to>
    <xdr:sp macro="[0]!EN_SAVOIR_PLUS" textlink="">
      <xdr:nvSpPr>
        <xdr:cNvPr id="5" name="Rectangle à coins arrondis 4"/>
        <xdr:cNvSpPr/>
      </xdr:nvSpPr>
      <xdr:spPr>
        <a:xfrm>
          <a:off x="4949376" y="4393704"/>
          <a:ext cx="603699" cy="45719"/>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11</xdr:col>
      <xdr:colOff>339725</xdr:colOff>
      <xdr:row>67</xdr:row>
      <xdr:rowOff>234950</xdr:rowOff>
    </xdr:from>
    <xdr:to>
      <xdr:col>12</xdr:col>
      <xdr:colOff>192243</xdr:colOff>
      <xdr:row>69</xdr:row>
      <xdr:rowOff>187325</xdr:rowOff>
    </xdr:to>
    <xdr:pic macro="[0]!EN_SAVOIR_PLUS">
      <xdr:nvPicPr>
        <xdr:cNvPr id="4097" name="Picture 1" descr="C:\Users\Steven\AppData\Local\Microsoft\Windows\INetCache\IE\GQ5W7HZI\120px-Searchtool.svg[1].png"/>
        <xdr:cNvPicPr>
          <a:picLocks noChangeAspect="1" noChangeArrowheads="1"/>
        </xdr:cNvPicPr>
      </xdr:nvPicPr>
      <xdr:blipFill>
        <a:blip xmlns:r="http://schemas.openxmlformats.org/officeDocument/2006/relationships" r:embed="rId2" cstate="print"/>
        <a:stretch>
          <a:fillRect/>
        </a:stretch>
      </xdr:blipFill>
      <xdr:spPr bwMode="auto">
        <a:xfrm>
          <a:off x="12446000" y="14312900"/>
          <a:ext cx="614518" cy="381000"/>
        </a:xfrm>
        <a:prstGeom prst="rect">
          <a:avLst/>
        </a:prstGeom>
        <a:noFill/>
      </xdr:spPr>
    </xdr:pic>
    <xdr:clientData fLocksWithSheet="0" fPrintsWithSheet="0"/>
  </xdr:twoCellAnchor>
  <xdr:twoCellAnchor>
    <xdr:from>
      <xdr:col>11</xdr:col>
      <xdr:colOff>295275</xdr:colOff>
      <xdr:row>68</xdr:row>
      <xdr:rowOff>28574</xdr:rowOff>
    </xdr:from>
    <xdr:to>
      <xdr:col>13</xdr:col>
      <xdr:colOff>0</xdr:colOff>
      <xdr:row>69</xdr:row>
      <xdr:rowOff>180974</xdr:rowOff>
    </xdr:to>
    <xdr:sp macro="" textlink="">
      <xdr:nvSpPr>
        <xdr:cNvPr id="7" name="Rectangle 6">
          <a:hlinkClick xmlns:r="http://schemas.openxmlformats.org/officeDocument/2006/relationships" r:id="rId3"/>
        </xdr:cNvPr>
        <xdr:cNvSpPr/>
      </xdr:nvSpPr>
      <xdr:spPr>
        <a:xfrm>
          <a:off x="12372975" y="14382749"/>
          <a:ext cx="1228725" cy="342900"/>
        </a:xfrm>
        <a:prstGeom prst="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1100" b="1"/>
            <a:t>retour simulation</a:t>
          </a:r>
        </a:p>
      </xdr:txBody>
    </xdr:sp>
    <xdr:clientData fPrintsWithSheet="0"/>
  </xdr:twoCellAnchor>
  <xdr:twoCellAnchor>
    <xdr:from>
      <xdr:col>10</xdr:col>
      <xdr:colOff>9525</xdr:colOff>
      <xdr:row>68</xdr:row>
      <xdr:rowOff>28574</xdr:rowOff>
    </xdr:from>
    <xdr:to>
      <xdr:col>11</xdr:col>
      <xdr:colOff>276225</xdr:colOff>
      <xdr:row>69</xdr:row>
      <xdr:rowOff>190499</xdr:rowOff>
    </xdr:to>
    <xdr:sp macro="[0]!SuppFRMO" textlink="">
      <xdr:nvSpPr>
        <xdr:cNvPr id="6" name="Rectangle 5"/>
        <xdr:cNvSpPr/>
      </xdr:nvSpPr>
      <xdr:spPr>
        <a:xfrm>
          <a:off x="11325225" y="14382749"/>
          <a:ext cx="1028700" cy="352425"/>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800" b="1"/>
            <a:t>Nouvelle</a:t>
          </a:r>
          <a:r>
            <a:rPr lang="fr-FR" sz="800" b="1" baseline="0"/>
            <a:t> Estimation</a:t>
          </a:r>
          <a:endParaRPr lang="fr-FR" sz="800" b="1"/>
        </a:p>
      </xdr:txBody>
    </xdr:sp>
    <xdr:clientData fPrintsWithSheet="0"/>
  </xdr:twoCellAnchor>
  <xdr:twoCellAnchor>
    <xdr:from>
      <xdr:col>20</xdr:col>
      <xdr:colOff>47625</xdr:colOff>
      <xdr:row>3</xdr:row>
      <xdr:rowOff>28575</xdr:rowOff>
    </xdr:from>
    <xdr:to>
      <xdr:col>20</xdr:col>
      <xdr:colOff>133350</xdr:colOff>
      <xdr:row>24</xdr:row>
      <xdr:rowOff>66675</xdr:rowOff>
    </xdr:to>
    <xdr:sp macro="" textlink="">
      <xdr:nvSpPr>
        <xdr:cNvPr id="8" name="Parenthèse fermante 7"/>
        <xdr:cNvSpPr/>
      </xdr:nvSpPr>
      <xdr:spPr>
        <a:xfrm>
          <a:off x="13677900" y="1019175"/>
          <a:ext cx="85725" cy="4305300"/>
        </a:xfrm>
        <a:prstGeom prst="rightBracket">
          <a:avLst/>
        </a:prstGeom>
      </xdr:spPr>
      <xdr:style>
        <a:lnRef idx="3">
          <a:schemeClr val="accent2"/>
        </a:lnRef>
        <a:fillRef idx="0">
          <a:schemeClr val="accent2"/>
        </a:fillRef>
        <a:effectRef idx="2">
          <a:schemeClr val="accent2"/>
        </a:effectRef>
        <a:fontRef idx="minor">
          <a:schemeClr val="tx1"/>
        </a:fontRef>
      </xdr:style>
      <xdr:txBody>
        <a:bodyPr vertOverflow="clip" rtlCol="0" anchor="ctr"/>
        <a:lstStyle/>
        <a:p>
          <a:pPr algn="ctr"/>
          <a:endParaRPr lang="fr-FR" sz="1100"/>
        </a:p>
      </xdr:txBody>
    </xdr:sp>
    <xdr:clientData/>
  </xdr:twoCellAnchor>
  <xdr:twoCellAnchor>
    <xdr:from>
      <xdr:col>20</xdr:col>
      <xdr:colOff>66675</xdr:colOff>
      <xdr:row>25</xdr:row>
      <xdr:rowOff>114300</xdr:rowOff>
    </xdr:from>
    <xdr:to>
      <xdr:col>20</xdr:col>
      <xdr:colOff>142875</xdr:colOff>
      <xdr:row>32</xdr:row>
      <xdr:rowOff>38100</xdr:rowOff>
    </xdr:to>
    <xdr:sp macro="" textlink="">
      <xdr:nvSpPr>
        <xdr:cNvPr id="9" name="Parenthèse fermante 8"/>
        <xdr:cNvSpPr/>
      </xdr:nvSpPr>
      <xdr:spPr>
        <a:xfrm>
          <a:off x="13696950" y="5562600"/>
          <a:ext cx="76200" cy="1285875"/>
        </a:xfrm>
        <a:prstGeom prst="rightBracket">
          <a:avLst/>
        </a:prstGeom>
      </xdr:spPr>
      <xdr:style>
        <a:lnRef idx="3">
          <a:schemeClr val="accent2"/>
        </a:lnRef>
        <a:fillRef idx="0">
          <a:schemeClr val="accent2"/>
        </a:fillRef>
        <a:effectRef idx="2">
          <a:schemeClr val="accent2"/>
        </a:effectRef>
        <a:fontRef idx="minor">
          <a:schemeClr val="tx1"/>
        </a:fontRef>
      </xdr:style>
      <xdr:txBody>
        <a:bodyPr vertOverflow="clip" rtlCol="0" anchor="ctr"/>
        <a:lstStyle/>
        <a:p>
          <a:pPr algn="ctr"/>
          <a:endParaRPr lang="fr-FR" sz="1100"/>
        </a:p>
      </xdr:txBody>
    </xdr:sp>
    <xdr:clientData/>
  </xdr:twoCellAnchor>
  <xdr:twoCellAnchor>
    <xdr:from>
      <xdr:col>20</xdr:col>
      <xdr:colOff>76199</xdr:colOff>
      <xdr:row>32</xdr:row>
      <xdr:rowOff>133350</xdr:rowOff>
    </xdr:from>
    <xdr:to>
      <xdr:col>20</xdr:col>
      <xdr:colOff>152400</xdr:colOff>
      <xdr:row>54</xdr:row>
      <xdr:rowOff>371475</xdr:rowOff>
    </xdr:to>
    <xdr:sp macro="" textlink="">
      <xdr:nvSpPr>
        <xdr:cNvPr id="10" name="Parenthèse fermante 9"/>
        <xdr:cNvSpPr/>
      </xdr:nvSpPr>
      <xdr:spPr>
        <a:xfrm>
          <a:off x="13706474" y="6943725"/>
          <a:ext cx="76201" cy="4619625"/>
        </a:xfrm>
        <a:prstGeom prst="rightBracket">
          <a:avLst/>
        </a:prstGeom>
      </xdr:spPr>
      <xdr:style>
        <a:lnRef idx="3">
          <a:schemeClr val="accent2"/>
        </a:lnRef>
        <a:fillRef idx="0">
          <a:schemeClr val="accent2"/>
        </a:fillRef>
        <a:effectRef idx="2">
          <a:schemeClr val="accent2"/>
        </a:effectRef>
        <a:fontRef idx="minor">
          <a:schemeClr val="tx1"/>
        </a:fontRef>
      </xdr:style>
      <xdr:txBody>
        <a:bodyPr vertOverflow="clip" rtlCol="0" anchor="ctr"/>
        <a:lstStyle/>
        <a:p>
          <a:pPr algn="ctr"/>
          <a:endParaRPr lang="fr-FR" sz="1100"/>
        </a:p>
      </xdr:txBody>
    </xdr:sp>
    <xdr:clientData/>
  </xdr:twoCellAnchor>
  <xdr:twoCellAnchor>
    <xdr:from>
      <xdr:col>20</xdr:col>
      <xdr:colOff>76199</xdr:colOff>
      <xdr:row>55</xdr:row>
      <xdr:rowOff>152400</xdr:rowOff>
    </xdr:from>
    <xdr:to>
      <xdr:col>20</xdr:col>
      <xdr:colOff>171450</xdr:colOff>
      <xdr:row>66</xdr:row>
      <xdr:rowOff>66675</xdr:rowOff>
    </xdr:to>
    <xdr:sp macro="" textlink="">
      <xdr:nvSpPr>
        <xdr:cNvPr id="12" name="Parenthèse fermante 11"/>
        <xdr:cNvSpPr/>
      </xdr:nvSpPr>
      <xdr:spPr>
        <a:xfrm>
          <a:off x="13706474" y="11725275"/>
          <a:ext cx="95251" cy="2219325"/>
        </a:xfrm>
        <a:prstGeom prst="rightBracket">
          <a:avLst/>
        </a:prstGeom>
      </xdr:spPr>
      <xdr:style>
        <a:lnRef idx="3">
          <a:schemeClr val="accent2"/>
        </a:lnRef>
        <a:fillRef idx="0">
          <a:schemeClr val="accent2"/>
        </a:fillRef>
        <a:effectRef idx="2">
          <a:schemeClr val="accent2"/>
        </a:effectRef>
        <a:fontRef idx="minor">
          <a:schemeClr val="tx1"/>
        </a:fontRef>
      </xdr:style>
      <xdr:txBody>
        <a:bodyPr vertOverflow="clip" rtlCol="0" anchor="ctr"/>
        <a:lstStyle/>
        <a:p>
          <a:pPr algn="ctr"/>
          <a:endParaRPr lang="fr-FR" sz="1100"/>
        </a:p>
      </xdr:txBody>
    </xdr:sp>
    <xdr:clientData/>
  </xdr:twoCellAnchor>
  <xdr:twoCellAnchor>
    <xdr:from>
      <xdr:col>20</xdr:col>
      <xdr:colOff>247650</xdr:colOff>
      <xdr:row>7</xdr:row>
      <xdr:rowOff>142874</xdr:rowOff>
    </xdr:from>
    <xdr:to>
      <xdr:col>20</xdr:col>
      <xdr:colOff>666750</xdr:colOff>
      <xdr:row>9</xdr:row>
      <xdr:rowOff>152399</xdr:rowOff>
    </xdr:to>
    <xdr:sp macro="" textlink="">
      <xdr:nvSpPr>
        <xdr:cNvPr id="14" name="Ellipse 13"/>
        <xdr:cNvSpPr/>
      </xdr:nvSpPr>
      <xdr:spPr>
        <a:xfrm>
          <a:off x="13877925" y="1933574"/>
          <a:ext cx="419100" cy="428625"/>
        </a:xfrm>
        <a:prstGeom prst="ellipse">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600" b="1"/>
            <a:t>1</a:t>
          </a:r>
        </a:p>
      </xdr:txBody>
    </xdr:sp>
    <xdr:clientData/>
  </xdr:twoCellAnchor>
  <xdr:twoCellAnchor>
    <xdr:from>
      <xdr:col>20</xdr:col>
      <xdr:colOff>266700</xdr:colOff>
      <xdr:row>27</xdr:row>
      <xdr:rowOff>152400</xdr:rowOff>
    </xdr:from>
    <xdr:to>
      <xdr:col>20</xdr:col>
      <xdr:colOff>685800</xdr:colOff>
      <xdr:row>30</xdr:row>
      <xdr:rowOff>9525</xdr:rowOff>
    </xdr:to>
    <xdr:sp macro="" textlink="">
      <xdr:nvSpPr>
        <xdr:cNvPr id="15" name="Ellipse 14"/>
        <xdr:cNvSpPr/>
      </xdr:nvSpPr>
      <xdr:spPr>
        <a:xfrm>
          <a:off x="13896975" y="6000750"/>
          <a:ext cx="419100" cy="428625"/>
        </a:xfrm>
        <a:prstGeom prst="ellipse">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600" b="1"/>
            <a:t>2</a:t>
          </a:r>
        </a:p>
      </xdr:txBody>
    </xdr:sp>
    <xdr:clientData/>
  </xdr:twoCellAnchor>
  <xdr:twoCellAnchor>
    <xdr:from>
      <xdr:col>20</xdr:col>
      <xdr:colOff>285750</xdr:colOff>
      <xdr:row>42</xdr:row>
      <xdr:rowOff>171450</xdr:rowOff>
    </xdr:from>
    <xdr:to>
      <xdr:col>20</xdr:col>
      <xdr:colOff>704850</xdr:colOff>
      <xdr:row>45</xdr:row>
      <xdr:rowOff>0</xdr:rowOff>
    </xdr:to>
    <xdr:sp macro="" textlink="">
      <xdr:nvSpPr>
        <xdr:cNvPr id="16" name="Ellipse 15"/>
        <xdr:cNvSpPr/>
      </xdr:nvSpPr>
      <xdr:spPr>
        <a:xfrm>
          <a:off x="13916025" y="8972550"/>
          <a:ext cx="419100" cy="428625"/>
        </a:xfrm>
        <a:prstGeom prst="ellipse">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600" b="1"/>
            <a:t>3</a:t>
          </a:r>
        </a:p>
      </xdr:txBody>
    </xdr:sp>
    <xdr:clientData/>
  </xdr:twoCellAnchor>
  <xdr:twoCellAnchor>
    <xdr:from>
      <xdr:col>20</xdr:col>
      <xdr:colOff>266700</xdr:colOff>
      <xdr:row>59</xdr:row>
      <xdr:rowOff>190500</xdr:rowOff>
    </xdr:from>
    <xdr:to>
      <xdr:col>20</xdr:col>
      <xdr:colOff>685800</xdr:colOff>
      <xdr:row>61</xdr:row>
      <xdr:rowOff>200025</xdr:rowOff>
    </xdr:to>
    <xdr:sp macro="" textlink="">
      <xdr:nvSpPr>
        <xdr:cNvPr id="17" name="Ellipse 16"/>
        <xdr:cNvSpPr/>
      </xdr:nvSpPr>
      <xdr:spPr>
        <a:xfrm>
          <a:off x="13896975" y="12620625"/>
          <a:ext cx="419100" cy="428625"/>
        </a:xfrm>
        <a:prstGeom prst="ellipse">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600" b="1"/>
            <a:t>4</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62442</xdr:colOff>
      <xdr:row>97</xdr:row>
      <xdr:rowOff>116417</xdr:rowOff>
    </xdr:from>
    <xdr:to>
      <xdr:col>5</xdr:col>
      <xdr:colOff>1300958</xdr:colOff>
      <xdr:row>99</xdr:row>
      <xdr:rowOff>147108</xdr:rowOff>
    </xdr:to>
    <xdr:pic>
      <xdr:nvPicPr>
        <xdr:cNvPr id="2" name="Picture 4">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472267" y="10489142"/>
          <a:ext cx="2667266" cy="468841"/>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twoCellAnchor>
    <xdr:from>
      <xdr:col>0</xdr:col>
      <xdr:colOff>0</xdr:colOff>
      <xdr:row>88</xdr:row>
      <xdr:rowOff>76201</xdr:rowOff>
    </xdr:from>
    <xdr:to>
      <xdr:col>1</xdr:col>
      <xdr:colOff>142875</xdr:colOff>
      <xdr:row>90</xdr:row>
      <xdr:rowOff>114301</xdr:rowOff>
    </xdr:to>
    <xdr:sp macro="" textlink="">
      <xdr:nvSpPr>
        <xdr:cNvPr id="3" name="Rectangle à coins arrondis 2">
          <a:hlinkClick xmlns:r="http://schemas.openxmlformats.org/officeDocument/2006/relationships" r:id="rId3"/>
        </xdr:cNvPr>
        <xdr:cNvSpPr/>
      </xdr:nvSpPr>
      <xdr:spPr>
        <a:xfrm>
          <a:off x="0" y="17878426"/>
          <a:ext cx="1476375" cy="419100"/>
        </a:xfrm>
        <a:prstGeom prst="roundRect">
          <a:avLst/>
        </a:prstGeom>
      </xdr:spPr>
      <xdr:style>
        <a:lnRef idx="3">
          <a:schemeClr val="lt1"/>
        </a:lnRef>
        <a:fillRef idx="1">
          <a:schemeClr val="accent1"/>
        </a:fillRef>
        <a:effectRef idx="1">
          <a:schemeClr val="accent1"/>
        </a:effectRef>
        <a:fontRef idx="minor">
          <a:schemeClr val="lt1"/>
        </a:fontRef>
      </xdr:style>
      <xdr:txBody>
        <a:bodyPr vertOverflow="clip" rtlCol="0" anchor="ctr"/>
        <a:lstStyle/>
        <a:p>
          <a:pPr algn="ctr"/>
          <a:r>
            <a:rPr lang="fr-FR" sz="1100"/>
            <a:t>retour haut de page</a:t>
          </a:r>
        </a:p>
      </xdr:txBody>
    </xdr:sp>
    <xdr:clientData/>
  </xdr:twoCellAnchor>
  <xdr:twoCellAnchor>
    <xdr:from>
      <xdr:col>0</xdr:col>
      <xdr:colOff>19050</xdr:colOff>
      <xdr:row>64</xdr:row>
      <xdr:rowOff>47625</xdr:rowOff>
    </xdr:from>
    <xdr:to>
      <xdr:col>1</xdr:col>
      <xdr:colOff>161925</xdr:colOff>
      <xdr:row>66</xdr:row>
      <xdr:rowOff>85725</xdr:rowOff>
    </xdr:to>
    <xdr:sp macro="" textlink="">
      <xdr:nvSpPr>
        <xdr:cNvPr id="4" name="Rectangle à coins arrondis 3">
          <a:hlinkClick xmlns:r="http://schemas.openxmlformats.org/officeDocument/2006/relationships" r:id="rId4"/>
        </xdr:cNvPr>
        <xdr:cNvSpPr/>
      </xdr:nvSpPr>
      <xdr:spPr>
        <a:xfrm>
          <a:off x="19050" y="12963525"/>
          <a:ext cx="1476375" cy="419100"/>
        </a:xfrm>
        <a:prstGeom prst="roundRect">
          <a:avLst/>
        </a:prstGeom>
      </xdr:spPr>
      <xdr:style>
        <a:lnRef idx="3">
          <a:schemeClr val="lt1"/>
        </a:lnRef>
        <a:fillRef idx="1">
          <a:schemeClr val="accent1"/>
        </a:fillRef>
        <a:effectRef idx="1">
          <a:schemeClr val="accent1"/>
        </a:effectRef>
        <a:fontRef idx="minor">
          <a:schemeClr val="lt1"/>
        </a:fontRef>
      </xdr:style>
      <xdr:txBody>
        <a:bodyPr vertOverflow="clip" rtlCol="0" anchor="ctr"/>
        <a:lstStyle/>
        <a:p>
          <a:pPr algn="ctr"/>
          <a:r>
            <a:rPr lang="fr-FR" sz="1100"/>
            <a:t>retour haut de page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es%20Documents\BUDGET\GRILLE%20BUDGET%20MAISON.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2"/>
      <sheetName val="Admin"/>
      <sheetName val="BUDGET AOUT15"/>
      <sheetName val="BUDGET SEPT15 A DEC15"/>
      <sheetName val="BUDGET NOV15"/>
      <sheetName val="BUDGET JAN16 ET SUIVANTS"/>
      <sheetName val="RAPPROCHEMENT CPT JT"/>
      <sheetName val="Feuil1"/>
    </sheetNames>
    <sheetDataSet>
      <sheetData sheetId="0">
        <row r="9">
          <cell r="B9" t="str">
            <v>azerty</v>
          </cell>
        </row>
      </sheetData>
      <sheetData sheetId="1">
        <row r="1">
          <cell r="H1" t="str">
            <v>Qwerty@99</v>
          </cell>
        </row>
      </sheetData>
      <sheetData sheetId="2" refreshError="1"/>
      <sheetData sheetId="3" refreshError="1"/>
      <sheetData sheetId="4" refreshError="1"/>
      <sheetData sheetId="5" refreshError="1"/>
      <sheetData sheetId="6" refreshError="1"/>
      <sheetData sheetId="7" refreshError="1"/>
    </sheetDataSet>
  </externalBook>
</externalLink>
</file>

<file path=xl/queryTables/queryTable1.xml><?xml version="1.0" encoding="utf-8"?>
<queryTable xmlns="http://schemas.openxmlformats.org/spreadsheetml/2006/main" name="magie-interactive-et-jeux-divers-no174_51" preserveFormatting="0" connectionId="48"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magie-interactive-et-jeux-divers-no174_20" preserveFormatting="0" connectionId="14"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magie-interactive-et-jeux-divers-no174_9" preserveFormatting="0" connectionId="52"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magie-interactive-et-jeux-divers-no174_14" preserveFormatting="0" connectionId="7"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magie-interactive-et-jeux-divers-no174_34" preserveFormatting="0" connectionId="29"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magie-interactive-et-jeux-divers-no174_25" preserveFormatting="0" connectionId="19"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magie-interactive-et-jeux-divers-no174_30" preserveFormatting="0" connectionId="25"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magie-interactive-et-jeux-divers-no174_37" preserveFormatting="0" connectionId="32"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magie-interactive-et-jeux-divers-no174_35" preserveFormatting="0" connectionId="30"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magie-interactive-et-jeux-divers-no174_26" preserveFormatting="0" connectionId="20"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magie-interactive-et-jeux-divers-no174_12" preserveFormatting="0" connectionId="5" autoFormatId="16" applyNumberFormats="0" applyBorderFormats="0" applyFontFormats="1" applyPatternFormats="1" applyAlignmentFormats="0" applyWidthHeightFormats="0"/>
</file>

<file path=xl/queryTables/queryTable12.xml><?xml version="1.0" encoding="utf-8"?>
<queryTable xmlns="http://schemas.openxmlformats.org/spreadsheetml/2006/main" name="magie-interactive-et-jeux-divers-no174_43" preserveFormatting="0" connectionId="39" autoFormatId="16" applyNumberFormats="0" applyBorderFormats="0" applyFontFormats="1" applyPatternFormats="1" applyAlignmentFormats="0" applyWidthHeightFormats="0"/>
</file>

<file path=xl/queryTables/queryTable13.xml><?xml version="1.0" encoding="utf-8"?>
<queryTable xmlns="http://schemas.openxmlformats.org/spreadsheetml/2006/main" name="magie-interactive-et-jeux-divers-no174_31" preserveFormatting="0" connectionId="26" autoFormatId="16" applyNumberFormats="0" applyBorderFormats="0" applyFontFormats="1" applyPatternFormats="1" applyAlignmentFormats="0" applyWidthHeightFormats="0"/>
</file>

<file path=xl/queryTables/queryTable14.xml><?xml version="1.0" encoding="utf-8"?>
<queryTable xmlns="http://schemas.openxmlformats.org/spreadsheetml/2006/main" name="magie-interactive-et-jeux-divers-no174_24" preserveFormatting="0" connectionId="18" autoFormatId="16" applyNumberFormats="0" applyBorderFormats="0" applyFontFormats="1" applyPatternFormats="1" applyAlignmentFormats="0" applyWidthHeightFormats="0"/>
</file>

<file path=xl/queryTables/queryTable15.xml><?xml version="1.0" encoding="utf-8"?>
<queryTable xmlns="http://schemas.openxmlformats.org/spreadsheetml/2006/main" name="magie-interactive-et-jeux-divers-no174_18" preserveFormatting="0" connectionId="11" autoFormatId="16" applyNumberFormats="0" applyBorderFormats="0" applyFontFormats="1" applyPatternFormats="1" applyAlignmentFormats="0" applyWidthHeightFormats="0"/>
</file>

<file path=xl/queryTables/queryTable16.xml><?xml version="1.0" encoding="utf-8"?>
<queryTable xmlns="http://schemas.openxmlformats.org/spreadsheetml/2006/main" name="magie-interactive-et-jeux-divers-no174_5" preserveFormatting="0" connectionId="46" autoFormatId="16" applyNumberFormats="0" applyBorderFormats="0" applyFontFormats="1" applyPatternFormats="1" applyAlignmentFormats="0" applyWidthHeightFormats="0"/>
</file>

<file path=xl/queryTables/queryTable17.xml><?xml version="1.0" encoding="utf-8"?>
<queryTable xmlns="http://schemas.openxmlformats.org/spreadsheetml/2006/main" name="magie-interactive-et-jeux-divers-no174_15" preserveFormatting="0" connectionId="8" autoFormatId="16" applyNumberFormats="0" applyBorderFormats="0" applyFontFormats="1" applyPatternFormats="1" applyAlignmentFormats="0" applyWidthHeightFormats="0"/>
</file>

<file path=xl/queryTables/queryTable18.xml><?xml version="1.0" encoding="utf-8"?>
<queryTable xmlns="http://schemas.openxmlformats.org/spreadsheetml/2006/main" name="magie-interactive-et-jeux-divers-no174_4" preserveFormatting="0" connectionId="35" autoFormatId="16" applyNumberFormats="0" applyBorderFormats="0" applyFontFormats="1" applyPatternFormats="1" applyAlignmentFormats="0" applyWidthHeightFormats="0"/>
</file>

<file path=xl/queryTables/queryTable19.xml><?xml version="1.0" encoding="utf-8"?>
<queryTable xmlns="http://schemas.openxmlformats.org/spreadsheetml/2006/main" name="magie-interactive-et-jeux-divers-no174_1" preserveFormatting="0" connectionId="2" autoFormatId="16" applyNumberFormats="0" applyBorderFormats="0" applyFontFormats="1" applyPatternFormats="1" applyAlignmentFormats="0" applyWidthHeightFormats="0"/>
</file>

<file path=xl/queryTables/queryTable20.xml><?xml version="1.0" encoding="utf-8"?>
<queryTable xmlns="http://schemas.openxmlformats.org/spreadsheetml/2006/main" name="magie-interactive-et-jeux-divers-no174_47" preserveFormatting="0" connectionId="43" autoFormatId="16" applyNumberFormats="0" applyBorderFormats="0" applyFontFormats="1" applyPatternFormats="1" applyAlignmentFormats="0" applyWidthHeightFormats="0"/>
</file>

<file path=xl/queryTables/queryTable21.xml><?xml version="1.0" encoding="utf-8"?>
<queryTable xmlns="http://schemas.openxmlformats.org/spreadsheetml/2006/main" name="magie-interactive-et-jeux-divers-no174_45" preserveFormatting="0" connectionId="41" autoFormatId="16" applyNumberFormats="0" applyBorderFormats="0" applyFontFormats="1" applyPatternFormats="1" applyAlignmentFormats="0" applyWidthHeightFormats="0"/>
</file>

<file path=xl/queryTables/queryTable22.xml><?xml version="1.0" encoding="utf-8"?>
<queryTable xmlns="http://schemas.openxmlformats.org/spreadsheetml/2006/main" name="magie-interactive-et-jeux-divers-no174_36" preserveFormatting="0" connectionId="31" autoFormatId="16" applyNumberFormats="0" applyBorderFormats="0" applyFontFormats="1" applyPatternFormats="1" applyAlignmentFormats="0" applyWidthHeightFormats="0"/>
</file>

<file path=xl/queryTables/queryTable23.xml><?xml version="1.0" encoding="utf-8"?>
<queryTable xmlns="http://schemas.openxmlformats.org/spreadsheetml/2006/main" name="magie-interactive-et-jeux-divers-no174_44" preserveFormatting="0" connectionId="40" autoFormatId="16" applyNumberFormats="0" applyBorderFormats="0" applyFontFormats="1" applyPatternFormats="1" applyAlignmentFormats="0" applyWidthHeightFormats="0"/>
</file>

<file path=xl/queryTables/queryTable24.xml><?xml version="1.0" encoding="utf-8"?>
<queryTable xmlns="http://schemas.openxmlformats.org/spreadsheetml/2006/main" name="magie-interactive-et-jeux-divers-no174_10" preserveFormatting="0" connectionId="3" autoFormatId="16" applyNumberFormats="0" applyBorderFormats="0" applyFontFormats="1" applyPatternFormats="1" applyAlignmentFormats="0" applyWidthHeightFormats="0"/>
</file>

<file path=xl/queryTables/queryTable25.xml><?xml version="1.0" encoding="utf-8"?>
<queryTable xmlns="http://schemas.openxmlformats.org/spreadsheetml/2006/main" name="magie-interactive-et-jeux-divers-no174_23" preserveFormatting="0" connectionId="17" autoFormatId="16" applyNumberFormats="0" applyBorderFormats="0" applyFontFormats="1" applyPatternFormats="1" applyAlignmentFormats="0" applyWidthHeightFormats="0"/>
</file>

<file path=xl/queryTables/queryTable26.xml><?xml version="1.0" encoding="utf-8"?>
<queryTable xmlns="http://schemas.openxmlformats.org/spreadsheetml/2006/main" name="magie-interactive-et-jeux-divers-no174_27" preserveFormatting="0" connectionId="21" autoFormatId="16" applyNumberFormats="0" applyBorderFormats="0" applyFontFormats="1" applyPatternFormats="1" applyAlignmentFormats="0" applyWidthHeightFormats="0"/>
</file>

<file path=xl/queryTables/queryTable27.xml><?xml version="1.0" encoding="utf-8"?>
<queryTable xmlns="http://schemas.openxmlformats.org/spreadsheetml/2006/main" name="magie-interactive-et-jeux-divers-no174_49" preserveFormatting="0" connectionId="45" autoFormatId="16" applyNumberFormats="0" applyBorderFormats="0" applyFontFormats="1" applyPatternFormats="1" applyAlignmentFormats="0" applyWidthHeightFormats="0"/>
</file>

<file path=xl/queryTables/queryTable28.xml><?xml version="1.0" encoding="utf-8"?>
<queryTable xmlns="http://schemas.openxmlformats.org/spreadsheetml/2006/main" name="magie-interactive-et-jeux-divers-no174" preserveFormatting="0" connectionId="1" autoFormatId="16" applyNumberFormats="0" applyBorderFormats="0" applyFontFormats="1" applyPatternFormats="1" applyAlignmentFormats="0" applyWidthHeightFormats="0"/>
</file>

<file path=xl/queryTables/queryTable29.xml><?xml version="1.0" encoding="utf-8"?>
<queryTable xmlns="http://schemas.openxmlformats.org/spreadsheetml/2006/main" name="magie-interactive-et-jeux-divers-no174_16" preserveFormatting="0" connectionId="9" autoFormatId="16" applyNumberFormats="0" applyBorderFormats="0" applyFontFormats="1" applyPatternFormats="1" applyAlignmentFormats="0" applyWidthHeightFormats="0"/>
</file>

<file path=xl/queryTables/queryTable30.xml><?xml version="1.0" encoding="utf-8"?>
<queryTable xmlns="http://schemas.openxmlformats.org/spreadsheetml/2006/main" name="magie-interactive-et-jeux-divers-no174_28" preserveFormatting="0" connectionId="22" autoFormatId="16" applyNumberFormats="0" applyBorderFormats="0" applyFontFormats="1" applyPatternFormats="1" applyAlignmentFormats="0" applyWidthHeightFormats="0"/>
</file>

<file path=xl/queryTables/queryTable31.xml><?xml version="1.0" encoding="utf-8"?>
<queryTable xmlns="http://schemas.openxmlformats.org/spreadsheetml/2006/main" name="magie-interactive-et-jeux-divers-no174_13" preserveFormatting="0" connectionId="6" autoFormatId="16" applyNumberFormats="0" applyBorderFormats="0" applyFontFormats="1" applyPatternFormats="1" applyAlignmentFormats="0" applyWidthHeightFormats="0"/>
</file>

<file path=xl/queryTables/queryTable32.xml><?xml version="1.0" encoding="utf-8"?>
<queryTable xmlns="http://schemas.openxmlformats.org/spreadsheetml/2006/main" name="magie-interactive-et-jeux-divers-no174_22" preserveFormatting="0" connectionId="16" autoFormatId="16" applyNumberFormats="0" applyBorderFormats="0" applyFontFormats="1" applyPatternFormats="1" applyAlignmentFormats="0" applyWidthHeightFormats="0"/>
</file>

<file path=xl/queryTables/queryTable33.xml><?xml version="1.0" encoding="utf-8"?>
<queryTable xmlns="http://schemas.openxmlformats.org/spreadsheetml/2006/main" name="magie-interactive-et-jeux-divers-no174_3" preserveFormatting="0" connectionId="24" autoFormatId="16" applyNumberFormats="0" applyBorderFormats="0" applyFontFormats="1" applyPatternFormats="1" applyAlignmentFormats="0" applyWidthHeightFormats="0"/>
</file>

<file path=xl/queryTables/queryTable34.xml><?xml version="1.0" encoding="utf-8"?>
<queryTable xmlns="http://schemas.openxmlformats.org/spreadsheetml/2006/main" name="magie-interactive-et-jeux-divers-no174_38" preserveFormatting="0" connectionId="33" autoFormatId="16" applyNumberFormats="0" applyBorderFormats="0" applyFontFormats="1" applyPatternFormats="1" applyAlignmentFormats="0" applyWidthHeightFormats="0"/>
</file>

<file path=xl/queryTables/queryTable35.xml><?xml version="1.0" encoding="utf-8"?>
<queryTable xmlns="http://schemas.openxmlformats.org/spreadsheetml/2006/main" name="magie-interactive-et-jeux-divers-no174_8" preserveFormatting="0" connectionId="51" autoFormatId="16" applyNumberFormats="0" applyBorderFormats="0" applyFontFormats="1" applyPatternFormats="1" applyAlignmentFormats="0" applyWidthHeightFormats="0"/>
</file>

<file path=xl/queryTables/queryTable36.xml><?xml version="1.0" encoding="utf-8"?>
<queryTable xmlns="http://schemas.openxmlformats.org/spreadsheetml/2006/main" name="magie-interactive-et-jeux-divers-no174_11" preserveFormatting="0" connectionId="4" autoFormatId="16" applyNumberFormats="0" applyBorderFormats="0" applyFontFormats="1" applyPatternFormats="1" applyAlignmentFormats="0" applyWidthHeightFormats="0"/>
</file>

<file path=xl/queryTables/queryTable37.xml><?xml version="1.0" encoding="utf-8"?>
<queryTable xmlns="http://schemas.openxmlformats.org/spreadsheetml/2006/main" name="magie-interactive-et-jeux-divers-no174_29" preserveFormatting="0" connectionId="23" autoFormatId="16" applyNumberFormats="0" applyBorderFormats="0" applyFontFormats="1" applyPatternFormats="1" applyAlignmentFormats="0" applyWidthHeightFormats="0"/>
</file>

<file path=xl/queryTables/queryTable38.xml><?xml version="1.0" encoding="utf-8"?>
<queryTable xmlns="http://schemas.openxmlformats.org/spreadsheetml/2006/main" name="magie-interactive-et-jeux-divers-no174_40" preserveFormatting="0" connectionId="36" autoFormatId="16" applyNumberFormats="0" applyBorderFormats="0" applyFontFormats="1" applyPatternFormats="1" applyAlignmentFormats="0" applyWidthHeightFormats="0"/>
</file>

<file path=xl/queryTables/queryTable39.xml><?xml version="1.0" encoding="utf-8"?>
<queryTable xmlns="http://schemas.openxmlformats.org/spreadsheetml/2006/main" name="magie-interactive-et-jeux-divers-no174_17" preserveFormatting="0" connectionId="10" autoFormatId="16" applyNumberFormats="0" applyBorderFormats="0" applyFontFormats="1" applyPatternFormats="1" applyAlignmentFormats="0" applyWidthHeightFormats="0"/>
</file>

<file path=xl/queryTables/queryTable40.xml><?xml version="1.0" encoding="utf-8"?>
<queryTable xmlns="http://schemas.openxmlformats.org/spreadsheetml/2006/main" name="magie-interactive-et-jeux-divers-no174_2" preserveFormatting="0" connectionId="13" autoFormatId="16" applyNumberFormats="0" applyBorderFormats="0" applyFontFormats="1" applyPatternFormats="1" applyAlignmentFormats="0" applyWidthHeightFormats="0"/>
</file>

<file path=xl/queryTables/queryTable41.xml><?xml version="1.0" encoding="utf-8"?>
<queryTable xmlns="http://schemas.openxmlformats.org/spreadsheetml/2006/main" name="magie-interactive-et-jeux-divers-no174_6" preserveFormatting="0" connectionId="49" autoFormatId="16" applyNumberFormats="0" applyBorderFormats="0" applyFontFormats="1" applyPatternFormats="1" applyAlignmentFormats="0" applyWidthHeightFormats="0"/>
</file>

<file path=xl/queryTables/queryTable42.xml><?xml version="1.0" encoding="utf-8"?>
<queryTable xmlns="http://schemas.openxmlformats.org/spreadsheetml/2006/main" name="magie-interactive-et-jeux-divers-no174_50" preserveFormatting="0" connectionId="47" autoFormatId="16" applyNumberFormats="0" applyBorderFormats="0" applyFontFormats="1" applyPatternFormats="1" applyAlignmentFormats="0" applyWidthHeightFormats="0"/>
</file>

<file path=xl/queryTables/queryTable43.xml><?xml version="1.0" encoding="utf-8"?>
<queryTable xmlns="http://schemas.openxmlformats.org/spreadsheetml/2006/main" name="magie-interactive-et-jeux-divers-no174_19" preserveFormatting="0" connectionId="12" autoFormatId="16" applyNumberFormats="0" applyBorderFormats="0" applyFontFormats="1" applyPatternFormats="1" applyAlignmentFormats="0" applyWidthHeightFormats="0"/>
</file>

<file path=xl/queryTables/queryTable44.xml><?xml version="1.0" encoding="utf-8"?>
<queryTable xmlns="http://schemas.openxmlformats.org/spreadsheetml/2006/main" name="magie-interactive-et-jeux-divers-no174_42" preserveFormatting="0" connectionId="38" autoFormatId="16" applyNumberFormats="0" applyBorderFormats="0" applyFontFormats="1" applyPatternFormats="1" applyAlignmentFormats="0" applyWidthHeightFormats="0"/>
</file>

<file path=xl/queryTables/queryTable45.xml><?xml version="1.0" encoding="utf-8"?>
<queryTable xmlns="http://schemas.openxmlformats.org/spreadsheetml/2006/main" name="magie-interactive-et-jeux-divers-no174_21" preserveFormatting="0" connectionId="15" autoFormatId="16" applyNumberFormats="0" applyBorderFormats="0" applyFontFormats="1" applyPatternFormats="1" applyAlignmentFormats="0" applyWidthHeightFormats="0"/>
</file>

<file path=xl/queryTables/queryTable46.xml><?xml version="1.0" encoding="utf-8"?>
<queryTable xmlns="http://schemas.openxmlformats.org/spreadsheetml/2006/main" name="magie-interactive-et-jeux-divers-no174_39" preserveFormatting="0" connectionId="34" autoFormatId="16" applyNumberFormats="0" applyBorderFormats="0" applyFontFormats="1" applyPatternFormats="1" applyAlignmentFormats="0" applyWidthHeightFormats="0"/>
</file>

<file path=xl/queryTables/queryTable47.xml><?xml version="1.0" encoding="utf-8"?>
<queryTable xmlns="http://schemas.openxmlformats.org/spreadsheetml/2006/main" name="magie-interactive-et-jeux-divers-no174_7" preserveFormatting="0" connectionId="50" autoFormatId="16" applyNumberFormats="0" applyBorderFormats="0" applyFontFormats="1" applyPatternFormats="1" applyAlignmentFormats="0" applyWidthHeightFormats="0"/>
</file>

<file path=xl/queryTables/queryTable48.xml><?xml version="1.0" encoding="utf-8"?>
<queryTable xmlns="http://schemas.openxmlformats.org/spreadsheetml/2006/main" name="magie-interactive-et-jeux-divers-no174_46" preserveFormatting="0" connectionId="42" autoFormatId="16" applyNumberFormats="0" applyBorderFormats="0" applyFontFormats="1" applyPatternFormats="1" applyAlignmentFormats="0" applyWidthHeightFormats="0"/>
</file>

<file path=xl/queryTables/queryTable49.xml><?xml version="1.0" encoding="utf-8"?>
<queryTable xmlns="http://schemas.openxmlformats.org/spreadsheetml/2006/main" name="magie-interactive-et-jeux-divers-no174_48" preserveFormatting="0" connectionId="44" autoFormatId="16" applyNumberFormats="0" applyBorderFormats="0" applyFontFormats="1" applyPatternFormats="1" applyAlignmentFormats="0" applyWidthHeightFormats="0"/>
</file>

<file path=xl/queryTables/queryTable50.xml><?xml version="1.0" encoding="utf-8"?>
<queryTable xmlns="http://schemas.openxmlformats.org/spreadsheetml/2006/main" name="magie-interactive-et-jeux-divers-no174_33" preserveFormatting="0" connectionId="28" autoFormatId="16" applyNumberFormats="0" applyBorderFormats="0" applyFontFormats="1" applyPatternFormats="1" applyAlignmentFormats="0" applyWidthHeightFormats="0"/>
</file>

<file path=xl/queryTables/queryTable51.xml><?xml version="1.0" encoding="utf-8"?>
<queryTable xmlns="http://schemas.openxmlformats.org/spreadsheetml/2006/main" name="magie-interactive-et-jeux-divers-no174_32" preserveFormatting="0" connectionId="27" autoFormatId="16" applyNumberFormats="0" applyBorderFormats="0" applyFontFormats="1" applyPatternFormats="1" applyAlignmentFormats="0" applyWidthHeightFormats="0"/>
</file>

<file path=xl/queryTables/queryTable52.xml><?xml version="1.0" encoding="utf-8"?>
<queryTable xmlns="http://schemas.openxmlformats.org/spreadsheetml/2006/main" name="magie-interactive-et-jeux-divers-no174_41" preserveFormatting="0" connectionId="37"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impots.gouv.fr/portal/dgi/public/popup?espId=1&amp;typePage=cpr02&amp;docOid=documentstandard_1407"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http://www.impots.gouv.fr/portal/dgi/public/particuliers.impot?pageId=part_fraisprof&amp;espId=1&amp;sfid=1210" TargetMode="External"/><Relationship Id="rId7" Type="http://schemas.openxmlformats.org/officeDocument/2006/relationships/printerSettings" Target="../printerSettings/printerSettings2.bin"/><Relationship Id="rId2" Type="http://schemas.openxmlformats.org/officeDocument/2006/relationships/hyperlink" Target="http://www.impots.gouv.fr/portal/dgi/public/popup;jsessionid=5TI14SAH32XUXQFIEIPSFFQ?espId=1&amp;typePage=cpr02&amp;docOid=documentstandard_570&amp;temNvlPopUp=true" TargetMode="External"/><Relationship Id="rId1" Type="http://schemas.openxmlformats.org/officeDocument/2006/relationships/hyperlink" Target="http://www.impots.gouv.fr/portal/dgi/public/popup;jsessionid=5TI14SAH32XUXQFIEIPSFFQ?espId=1&amp;typePage=cpr02&amp;docOid=documentstandard_570&amp;temNvlPopUp=true" TargetMode="External"/><Relationship Id="rId6" Type="http://schemas.openxmlformats.org/officeDocument/2006/relationships/hyperlink" Target="http://www.impots.gouv.fr/portal/dgi/public/popup;jsessionid=5TI14SAH32XUXQFIEIPSFFQ?espId=1&amp;typePage=cpr02&amp;docOid=documentstandard_570&amp;temNvlPopUp=true" TargetMode="External"/><Relationship Id="rId5" Type="http://schemas.openxmlformats.org/officeDocument/2006/relationships/hyperlink" Target="http://www.impots.gouv.fr/portal/dgi/public/popup;jsessionid=5TI14SAH32XUXQFIEIPSFFQ?espId=1&amp;typePage=cpr02&amp;docOid=documentstandard_570&amp;temNvlPopUp=true" TargetMode="External"/><Relationship Id="rId10" Type="http://schemas.openxmlformats.org/officeDocument/2006/relationships/comments" Target="../comments2.xml"/><Relationship Id="rId4" Type="http://schemas.openxmlformats.org/officeDocument/2006/relationships/hyperlink" Target="http://www.impots.gouv.fr/portal/dgi/public/particuliers.impot?pageId=part_fraisprof&amp;espId=1&amp;sfid=1210" TargetMode="External"/><Relationship Id="rId9"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drawing" Target="../drawings/drawing3.xml"/><Relationship Id="rId3" Type="http://schemas.openxmlformats.org/officeDocument/2006/relationships/hyperlink" Target="https://fr.mappy.com/" TargetMode="External"/><Relationship Id="rId7" Type="http://schemas.openxmlformats.org/officeDocument/2006/relationships/printerSettings" Target="../printerSettings/printerSettings3.bin"/><Relationship Id="rId2" Type="http://schemas.openxmlformats.org/officeDocument/2006/relationships/hyperlink" Target="https://www.service-public.fr/particuliers/vosdroits/F1989" TargetMode="External"/><Relationship Id="rId1" Type="http://schemas.openxmlformats.org/officeDocument/2006/relationships/hyperlink" Target="http://impotsurlerevenu.org/comprendre-le-calcul-de-l-impot/936-frais-kilometriques-depassement-des-40-kms-.php" TargetMode="External"/><Relationship Id="rId6" Type="http://schemas.openxmlformats.org/officeDocument/2006/relationships/hyperlink" Target="http://www.impots.gouv.fr/portal/dgi/public/particuliers.impot?pageId=part_fraisprof&amp;espId=1&amp;sfid=1210" TargetMode="External"/><Relationship Id="rId5" Type="http://schemas.openxmlformats.org/officeDocument/2006/relationships/hyperlink" Target="https://www.google.fr/maps" TargetMode="External"/><Relationship Id="rId10" Type="http://schemas.openxmlformats.org/officeDocument/2006/relationships/comments" Target="../comments3.xml"/><Relationship Id="rId4" Type="http://schemas.openxmlformats.org/officeDocument/2006/relationships/hyperlink" Target="https://www.viamichelin.fr/" TargetMode="External"/><Relationship Id="rId9"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6" Type="http://schemas.openxmlformats.org/officeDocument/2006/relationships/hyperlink" Target="http://www.excel-pratique.com/fr/vba/astuces_vba.php" TargetMode="External"/><Relationship Id="rId117" Type="http://schemas.openxmlformats.org/officeDocument/2006/relationships/hyperlink" Target="http://www.excel-pratique.com/fr/logiciels/gestion-projets.php?stats=menu" TargetMode="External"/><Relationship Id="rId21" Type="http://schemas.openxmlformats.org/officeDocument/2006/relationships/hyperlink" Target="http://www.excel-pratique.com/fr/vba/evenements_classeur.php" TargetMode="External"/><Relationship Id="rId42" Type="http://schemas.openxmlformats.org/officeDocument/2006/relationships/hyperlink" Target="http://www.excel-pratique.com/fr/fonctions.php" TargetMode="External"/><Relationship Id="rId47" Type="http://schemas.openxmlformats.org/officeDocument/2006/relationships/hyperlink" Target="http://www.excel-pratique.com/fr/fonctions/excel-statistiques.php" TargetMode="External"/><Relationship Id="rId63" Type="http://schemas.openxmlformats.org/officeDocument/2006/relationships/hyperlink" Target="http://www.excel-pratique.com/fr/fonctions-complementaires.php" TargetMode="External"/><Relationship Id="rId68" Type="http://schemas.openxmlformats.org/officeDocument/2006/relationships/hyperlink" Target="http://www.excel-pratique.com/fr/telechargements.php" TargetMode="External"/><Relationship Id="rId84" Type="http://schemas.openxmlformats.org/officeDocument/2006/relationships/hyperlink" Target="http://www.excel-pratique.com/fr/telechargements/inclassables-c18.php" TargetMode="External"/><Relationship Id="rId89" Type="http://schemas.openxmlformats.org/officeDocument/2006/relationships/hyperlink" Target="http://www.excel-pratique.com/fr/logiciels/gestion-projets.php" TargetMode="External"/><Relationship Id="rId112" Type="http://schemas.openxmlformats.org/officeDocument/2006/relationships/hyperlink" Target="http://www.excel-pratique.com/fr/telechargements/utilitaires-c17.php" TargetMode="External"/><Relationship Id="rId133" Type="http://schemas.openxmlformats.org/officeDocument/2006/relationships/printerSettings" Target="../printerSettings/printerSettings4.bin"/><Relationship Id="rId138" Type="http://schemas.openxmlformats.org/officeDocument/2006/relationships/queryTable" Target="../queryTables/queryTable5.xml"/><Relationship Id="rId154" Type="http://schemas.openxmlformats.org/officeDocument/2006/relationships/queryTable" Target="../queryTables/queryTable21.xml"/><Relationship Id="rId159" Type="http://schemas.openxmlformats.org/officeDocument/2006/relationships/queryTable" Target="../queryTables/queryTable26.xml"/><Relationship Id="rId175" Type="http://schemas.openxmlformats.org/officeDocument/2006/relationships/queryTable" Target="../queryTables/queryTable42.xml"/><Relationship Id="rId170" Type="http://schemas.openxmlformats.org/officeDocument/2006/relationships/queryTable" Target="../queryTables/queryTable37.xml"/><Relationship Id="rId16" Type="http://schemas.openxmlformats.org/officeDocument/2006/relationships/hyperlink" Target="http://www.excel-pratique.com/fr/vba/variables.php" TargetMode="External"/><Relationship Id="rId107" Type="http://schemas.openxmlformats.org/officeDocument/2006/relationships/hyperlink" Target="http://www.excel-pratique.com/fr/telechargements/outils-de-gestion-c12.php" TargetMode="External"/><Relationship Id="rId11" Type="http://schemas.openxmlformats.org/officeDocument/2006/relationships/hyperlink" Target="http://www.excel-pratique.com/fr/cours/excel_mise_en_page.php" TargetMode="External"/><Relationship Id="rId32" Type="http://schemas.openxmlformats.org/officeDocument/2006/relationships/hyperlink" Target="http://www.excel-pratique.com/fr/formation/creation_userform.php" TargetMode="External"/><Relationship Id="rId37" Type="http://schemas.openxmlformats.org/officeDocument/2006/relationships/hyperlink" Target="http://www.excel-pratique.com/fr/formation/suppression_donnees.php" TargetMode="External"/><Relationship Id="rId53" Type="http://schemas.openxmlformats.org/officeDocument/2006/relationships/hyperlink" Target="http://www.excel-pratique.com/fr/index_des_fonctions/statistiques.php" TargetMode="External"/><Relationship Id="rId58" Type="http://schemas.openxmlformats.org/officeDocument/2006/relationships/hyperlink" Target="http://www.excel-pratique.com/fr/index_des_fonctions/informations.php" TargetMode="External"/><Relationship Id="rId74" Type="http://schemas.openxmlformats.org/officeDocument/2006/relationships/hyperlink" Target="http://www.excel-pratique.com/fr/telechargements/gestion-commerciale-c8.php" TargetMode="External"/><Relationship Id="rId79" Type="http://schemas.openxmlformats.org/officeDocument/2006/relationships/hyperlink" Target="http://www.excel-pratique.com/fr/telechargements/outils-mathematiques-c13.php" TargetMode="External"/><Relationship Id="rId102" Type="http://schemas.openxmlformats.org/officeDocument/2006/relationships/hyperlink" Target="http://www.excel-pratique.com/fr/telechargements/convertisseurs-c7.php" TargetMode="External"/><Relationship Id="rId123" Type="http://schemas.openxmlformats.org/officeDocument/2006/relationships/hyperlink" Target="http://www.excel-pratique.com/fr/cours.php" TargetMode="External"/><Relationship Id="rId128" Type="http://schemas.openxmlformats.org/officeDocument/2006/relationships/hyperlink" Target="http://www.excel-pratique.com/fr/contact.php" TargetMode="External"/><Relationship Id="rId144" Type="http://schemas.openxmlformats.org/officeDocument/2006/relationships/queryTable" Target="../queryTables/queryTable11.xml"/><Relationship Id="rId149" Type="http://schemas.openxmlformats.org/officeDocument/2006/relationships/queryTable" Target="../queryTables/queryTable16.xml"/><Relationship Id="rId5" Type="http://schemas.openxmlformats.org/officeDocument/2006/relationships/hyperlink" Target="http://www.excel-pratique.com/fr/cours/excel_format_et_mise_en_forme.php" TargetMode="External"/><Relationship Id="rId90" Type="http://schemas.openxmlformats.org/officeDocument/2006/relationships/hyperlink" Target="http://www.excel-pratique.com/fr/logiciels/planning_pratique.php" TargetMode="External"/><Relationship Id="rId95" Type="http://schemas.openxmlformats.org/officeDocument/2006/relationships/hyperlink" Target="http://www.excel-pratique.com/fr/telechargements/doc-excel-c0.php" TargetMode="External"/><Relationship Id="rId160" Type="http://schemas.openxmlformats.org/officeDocument/2006/relationships/queryTable" Target="../queryTables/queryTable27.xml"/><Relationship Id="rId165" Type="http://schemas.openxmlformats.org/officeDocument/2006/relationships/queryTable" Target="../queryTables/queryTable32.xml"/><Relationship Id="rId181" Type="http://schemas.openxmlformats.org/officeDocument/2006/relationships/queryTable" Target="../queryTables/queryTable48.xml"/><Relationship Id="rId22" Type="http://schemas.openxmlformats.org/officeDocument/2006/relationships/hyperlink" Target="http://www.excel-pratique.com/fr/vba/userform.php" TargetMode="External"/><Relationship Id="rId27" Type="http://schemas.openxmlformats.org/officeDocument/2006/relationships/hyperlink" Target="http://www.excel-pratique.com/fr/formation.php" TargetMode="External"/><Relationship Id="rId43" Type="http://schemas.openxmlformats.org/officeDocument/2006/relationships/hyperlink" Target="http://www.excel-pratique.com/fr/fonctions/excel-date-et-heure.php" TargetMode="External"/><Relationship Id="rId48" Type="http://schemas.openxmlformats.org/officeDocument/2006/relationships/hyperlink" Target="http://www.excel-pratique.com/fr/fonctions/excel-texte.php" TargetMode="External"/><Relationship Id="rId64" Type="http://schemas.openxmlformats.org/officeDocument/2006/relationships/hyperlink" Target="http://www.excel-pratique.com/fr/fonctions-complementaires/fonctions-complementaires.php" TargetMode="External"/><Relationship Id="rId69" Type="http://schemas.openxmlformats.org/officeDocument/2006/relationships/hyperlink" Target="http://www.excel-pratique.com/fr/telechargements/bd-finance-c3.php" TargetMode="External"/><Relationship Id="rId113" Type="http://schemas.openxmlformats.org/officeDocument/2006/relationships/hyperlink" Target="http://www.excel-pratique.com/fr/telechargements/inclassables-c18.php" TargetMode="External"/><Relationship Id="rId118" Type="http://schemas.openxmlformats.org/officeDocument/2006/relationships/hyperlink" Target="http://www.excel-pratique.com/fr/logiciels/logiciel_de_comptabilite.php?menu" TargetMode="External"/><Relationship Id="rId134" Type="http://schemas.openxmlformats.org/officeDocument/2006/relationships/queryTable" Target="../queryTables/queryTable1.xml"/><Relationship Id="rId139" Type="http://schemas.openxmlformats.org/officeDocument/2006/relationships/queryTable" Target="../queryTables/queryTable6.xml"/><Relationship Id="rId80" Type="http://schemas.openxmlformats.org/officeDocument/2006/relationships/hyperlink" Target="http://www.excel-pratique.com/fr/telechargements/plannings-c14.php" TargetMode="External"/><Relationship Id="rId85" Type="http://schemas.openxmlformats.org/officeDocument/2006/relationships/hyperlink" Target="http://www.excel-pratique.com/fr/logiciels.php" TargetMode="External"/><Relationship Id="rId150" Type="http://schemas.openxmlformats.org/officeDocument/2006/relationships/queryTable" Target="../queryTables/queryTable17.xml"/><Relationship Id="rId155" Type="http://schemas.openxmlformats.org/officeDocument/2006/relationships/queryTable" Target="../queryTables/queryTable22.xml"/><Relationship Id="rId171" Type="http://schemas.openxmlformats.org/officeDocument/2006/relationships/queryTable" Target="../queryTables/queryTable38.xml"/><Relationship Id="rId176" Type="http://schemas.openxmlformats.org/officeDocument/2006/relationships/queryTable" Target="../queryTables/queryTable43.xml"/><Relationship Id="rId12" Type="http://schemas.openxmlformats.org/officeDocument/2006/relationships/hyperlink" Target="http://www.excel-pratique.com/fr/cours/excel_base_de_donnees_facturation.php" TargetMode="External"/><Relationship Id="rId17" Type="http://schemas.openxmlformats.org/officeDocument/2006/relationships/hyperlink" Target="http://www.excel-pratique.com/fr/vba/conditions.php" TargetMode="External"/><Relationship Id="rId33" Type="http://schemas.openxmlformats.org/officeDocument/2006/relationships/hyperlink" Target="http://www.excel-pratique.com/fr/formation/enregistrement_donnees.php" TargetMode="External"/><Relationship Id="rId38" Type="http://schemas.openxmlformats.org/officeDocument/2006/relationships/hyperlink" Target="http://www.excel-pratique.com/fr/formation/affichage_notes_du_jour.php" TargetMode="External"/><Relationship Id="rId59" Type="http://schemas.openxmlformats.org/officeDocument/2006/relationships/hyperlink" Target="http://www.excel-pratique.com/fr/index_des_fonctions/ingenierie.php" TargetMode="External"/><Relationship Id="rId103" Type="http://schemas.openxmlformats.org/officeDocument/2006/relationships/hyperlink" Target="http://www.excel-pratique.com/fr/telechargements/gestion-commerciale-c8.php" TargetMode="External"/><Relationship Id="rId108" Type="http://schemas.openxmlformats.org/officeDocument/2006/relationships/hyperlink" Target="http://www.excel-pratique.com/fr/telechargements/outils-mathematiques-c13.php" TargetMode="External"/><Relationship Id="rId124" Type="http://schemas.openxmlformats.org/officeDocument/2006/relationships/hyperlink" Target="http://www.excel-pratique.com/fr/vba.php" TargetMode="External"/><Relationship Id="rId129" Type="http://schemas.openxmlformats.org/officeDocument/2006/relationships/hyperlink" Target="https://forum.excel-pratique.com/" TargetMode="External"/><Relationship Id="rId54" Type="http://schemas.openxmlformats.org/officeDocument/2006/relationships/hyperlink" Target="http://www.excel-pratique.com/fr/index_des_fonctions/recherche_et_matrices.php" TargetMode="External"/><Relationship Id="rId70" Type="http://schemas.openxmlformats.org/officeDocument/2006/relationships/hyperlink" Target="http://www.excel-pratique.com/fr/telechargements/budget-gestion-de-comptes-c4.php" TargetMode="External"/><Relationship Id="rId75" Type="http://schemas.openxmlformats.org/officeDocument/2006/relationships/hyperlink" Target="http://www.excel-pratique.com/fr/telechargements/gestion-du-personnel-c9.php" TargetMode="External"/><Relationship Id="rId91" Type="http://schemas.openxmlformats.org/officeDocument/2006/relationships/hyperlink" Target="http://www.excel-pratique.com/fr/logiciels/calendrier_pratique.php" TargetMode="External"/><Relationship Id="rId96" Type="http://schemas.openxmlformats.org/officeDocument/2006/relationships/hyperlink" Target="http://www.excel-pratique.com/fr/telechargements/doc-vba-c1.php" TargetMode="External"/><Relationship Id="rId140" Type="http://schemas.openxmlformats.org/officeDocument/2006/relationships/queryTable" Target="../queryTables/queryTable7.xml"/><Relationship Id="rId145" Type="http://schemas.openxmlformats.org/officeDocument/2006/relationships/queryTable" Target="../queryTables/queryTable12.xml"/><Relationship Id="rId161" Type="http://schemas.openxmlformats.org/officeDocument/2006/relationships/queryTable" Target="../queryTables/queryTable28.xml"/><Relationship Id="rId166" Type="http://schemas.openxmlformats.org/officeDocument/2006/relationships/queryTable" Target="../queryTables/queryTable33.xml"/><Relationship Id="rId182" Type="http://schemas.openxmlformats.org/officeDocument/2006/relationships/queryTable" Target="../queryTables/queryTable49.xml"/><Relationship Id="rId1" Type="http://schemas.openxmlformats.org/officeDocument/2006/relationships/hyperlink" Target="http://www.excel-pratique.com/en/downloads.php" TargetMode="External"/><Relationship Id="rId6" Type="http://schemas.openxmlformats.org/officeDocument/2006/relationships/hyperlink" Target="http://www.excel-pratique.com/fr/cours/excel_insertion_formes.php" TargetMode="External"/><Relationship Id="rId23" Type="http://schemas.openxmlformats.org/officeDocument/2006/relationships/hyperlink" Target="http://www.excel-pratique.com/fr/vba/tableaux_vba.php" TargetMode="External"/><Relationship Id="rId28" Type="http://schemas.openxmlformats.org/officeDocument/2006/relationships/hyperlink" Target="http://www.excel-pratique.com/fr/formation/introduction_formation.php" TargetMode="External"/><Relationship Id="rId49" Type="http://schemas.openxmlformats.org/officeDocument/2006/relationships/hyperlink" Target="http://www.excel-pratique.com/fr/index_des_fonctions.php" TargetMode="External"/><Relationship Id="rId114" Type="http://schemas.openxmlformats.org/officeDocument/2006/relationships/hyperlink" Target="http://www.excel-pratique.com/fr/logiciels.php" TargetMode="External"/><Relationship Id="rId119" Type="http://schemas.openxmlformats.org/officeDocument/2006/relationships/hyperlink" Target="http://www.excel-pratique.com/fr/logiciels/planning_pratique.php?ref=menu" TargetMode="External"/><Relationship Id="rId44" Type="http://schemas.openxmlformats.org/officeDocument/2006/relationships/hyperlink" Target="http://www.excel-pratique.com/fr/fonctions/excel-logique.php" TargetMode="External"/><Relationship Id="rId60" Type="http://schemas.openxmlformats.org/officeDocument/2006/relationships/hyperlink" Target="http://www.excel-pratique.com/fr/index_des_fonctions/cube.php" TargetMode="External"/><Relationship Id="rId65" Type="http://schemas.openxmlformats.org/officeDocument/2006/relationships/hyperlink" Target="http://www.excel-pratique.com/fr/fonctions-complementaires/fonctions-excel.php" TargetMode="External"/><Relationship Id="rId81" Type="http://schemas.openxmlformats.org/officeDocument/2006/relationships/hyperlink" Target="http://www.excel-pratique.com/fr/telechargements/sante-c15.php" TargetMode="External"/><Relationship Id="rId86" Type="http://schemas.openxmlformats.org/officeDocument/2006/relationships/hyperlink" Target="http://www.excel-pratique.com/fr/logiciels/gestion-stock.php" TargetMode="External"/><Relationship Id="rId130" Type="http://schemas.openxmlformats.org/officeDocument/2006/relationships/hyperlink" Target="http://www.blog-excel.com/" TargetMode="External"/><Relationship Id="rId135" Type="http://schemas.openxmlformats.org/officeDocument/2006/relationships/queryTable" Target="../queryTables/queryTable2.xml"/><Relationship Id="rId151" Type="http://schemas.openxmlformats.org/officeDocument/2006/relationships/queryTable" Target="../queryTables/queryTable18.xml"/><Relationship Id="rId156" Type="http://schemas.openxmlformats.org/officeDocument/2006/relationships/queryTable" Target="../queryTables/queryTable23.xml"/><Relationship Id="rId177" Type="http://schemas.openxmlformats.org/officeDocument/2006/relationships/queryTable" Target="../queryTables/queryTable44.xml"/><Relationship Id="rId4" Type="http://schemas.openxmlformats.org/officeDocument/2006/relationships/hyperlink" Target="http://www.excel-pratique.com/fr/cours/excel_tableaux_bordures.php" TargetMode="External"/><Relationship Id="rId9" Type="http://schemas.openxmlformats.org/officeDocument/2006/relationships/hyperlink" Target="http://www.excel-pratique.com/fr/cours/excel_insertion_graphiques.php" TargetMode="External"/><Relationship Id="rId172" Type="http://schemas.openxmlformats.org/officeDocument/2006/relationships/queryTable" Target="../queryTables/queryTable39.xml"/><Relationship Id="rId180" Type="http://schemas.openxmlformats.org/officeDocument/2006/relationships/queryTable" Target="../queryTables/queryTable47.xml"/><Relationship Id="rId13" Type="http://schemas.openxmlformats.org/officeDocument/2006/relationships/hyperlink" Target="http://www.excel-pratique.com/fr/vba.php" TargetMode="External"/><Relationship Id="rId18" Type="http://schemas.openxmlformats.org/officeDocument/2006/relationships/hyperlink" Target="http://www.excel-pratique.com/fr/vba/boucles.php" TargetMode="External"/><Relationship Id="rId39" Type="http://schemas.openxmlformats.org/officeDocument/2006/relationships/hyperlink" Target="http://www.excel-pratique.com/fr/formation/exercice_revision.php" TargetMode="External"/><Relationship Id="rId109" Type="http://schemas.openxmlformats.org/officeDocument/2006/relationships/hyperlink" Target="http://www.excel-pratique.com/fr/telechargements/plannings-c14.php" TargetMode="External"/><Relationship Id="rId34" Type="http://schemas.openxmlformats.org/officeDocument/2006/relationships/hyperlink" Target="http://www.excel-pratique.com/fr/formation/affichage_donnees.php" TargetMode="External"/><Relationship Id="rId50" Type="http://schemas.openxmlformats.org/officeDocument/2006/relationships/hyperlink" Target="http://www.excel-pratique.com/fr/index_des_fonctions/finances.php" TargetMode="External"/><Relationship Id="rId55" Type="http://schemas.openxmlformats.org/officeDocument/2006/relationships/hyperlink" Target="http://www.excel-pratique.com/fr/index_des_fonctions/base_de_donnees.php" TargetMode="External"/><Relationship Id="rId76" Type="http://schemas.openxmlformats.org/officeDocument/2006/relationships/hyperlink" Target="http://www.excel-pratique.com/fr/telechargements/jeux-c10.php" TargetMode="External"/><Relationship Id="rId97" Type="http://schemas.openxmlformats.org/officeDocument/2006/relationships/hyperlink" Target="http://www.excel-pratique.com/fr/telechargements/doc-calc-c2.php" TargetMode="External"/><Relationship Id="rId104" Type="http://schemas.openxmlformats.org/officeDocument/2006/relationships/hyperlink" Target="http://www.excel-pratique.com/fr/telechargements/gestion-du-personnel-c9.php" TargetMode="External"/><Relationship Id="rId120" Type="http://schemas.openxmlformats.org/officeDocument/2006/relationships/hyperlink" Target="http://www.excel-pratique.com/" TargetMode="External"/><Relationship Id="rId125" Type="http://schemas.openxmlformats.org/officeDocument/2006/relationships/hyperlink" Target="http://www.excel-pratique.com/fr/formation.php" TargetMode="External"/><Relationship Id="rId141" Type="http://schemas.openxmlformats.org/officeDocument/2006/relationships/queryTable" Target="../queryTables/queryTable8.xml"/><Relationship Id="rId146" Type="http://schemas.openxmlformats.org/officeDocument/2006/relationships/queryTable" Target="../queryTables/queryTable13.xml"/><Relationship Id="rId167" Type="http://schemas.openxmlformats.org/officeDocument/2006/relationships/queryTable" Target="../queryTables/queryTable34.xml"/><Relationship Id="rId7" Type="http://schemas.openxmlformats.org/officeDocument/2006/relationships/hyperlink" Target="http://www.excel-pratique.com/fr/cours/excel_recopie_incrementee.php" TargetMode="External"/><Relationship Id="rId71" Type="http://schemas.openxmlformats.org/officeDocument/2006/relationships/hyperlink" Target="http://www.excel-pratique.com/fr/telechargements/calendriers-c5.php" TargetMode="External"/><Relationship Id="rId92" Type="http://schemas.openxmlformats.org/officeDocument/2006/relationships/hyperlink" Target="http://www.excel-pratique.com/fr/logiciels/protection_pratique.php" TargetMode="External"/><Relationship Id="rId162" Type="http://schemas.openxmlformats.org/officeDocument/2006/relationships/queryTable" Target="../queryTables/queryTable29.xml"/><Relationship Id="rId183" Type="http://schemas.openxmlformats.org/officeDocument/2006/relationships/queryTable" Target="../queryTables/queryTable50.xml"/><Relationship Id="rId2" Type="http://schemas.openxmlformats.org/officeDocument/2006/relationships/hyperlink" Target="http://www.excel-pratique.com/fr/cours.php" TargetMode="External"/><Relationship Id="rId29" Type="http://schemas.openxmlformats.org/officeDocument/2006/relationships/hyperlink" Target="http://www.excel-pratique.com/fr/formation/affichage_jours.php" TargetMode="External"/><Relationship Id="rId24" Type="http://schemas.openxmlformats.org/officeDocument/2006/relationships/hyperlink" Target="http://www.excel-pratique.com/fr/vba/fonctions_vba.php" TargetMode="External"/><Relationship Id="rId40" Type="http://schemas.openxmlformats.org/officeDocument/2006/relationships/hyperlink" Target="http://www.excel-pratique.com/fr/formation/dernieres_recommandations.php" TargetMode="External"/><Relationship Id="rId45" Type="http://schemas.openxmlformats.org/officeDocument/2006/relationships/hyperlink" Target="http://www.excel-pratique.com/fr/fonctions/excel-math-et-trigo.php" TargetMode="External"/><Relationship Id="rId66" Type="http://schemas.openxmlformats.org/officeDocument/2006/relationships/hyperlink" Target="http://www.excel-pratique.com/fr/fonctions-complementaires/fonctions-vba.php" TargetMode="External"/><Relationship Id="rId87" Type="http://schemas.openxmlformats.org/officeDocument/2006/relationships/hyperlink" Target="http://www.excel-pratique.com/fr/logiciels/gestion-contacts.php" TargetMode="External"/><Relationship Id="rId110" Type="http://schemas.openxmlformats.org/officeDocument/2006/relationships/hyperlink" Target="http://www.excel-pratique.com/fr/telechargements/sante-c15.php" TargetMode="External"/><Relationship Id="rId115" Type="http://schemas.openxmlformats.org/officeDocument/2006/relationships/hyperlink" Target="http://www.excel-pratique.com/fr/logiciels/gestion-stock.php?stats=menu" TargetMode="External"/><Relationship Id="rId131" Type="http://schemas.openxmlformats.org/officeDocument/2006/relationships/hyperlink" Target="http://www.excel-pratique.com/fr/livredor/livredor.php" TargetMode="External"/><Relationship Id="rId136" Type="http://schemas.openxmlformats.org/officeDocument/2006/relationships/queryTable" Target="../queryTables/queryTable3.xml"/><Relationship Id="rId157" Type="http://schemas.openxmlformats.org/officeDocument/2006/relationships/queryTable" Target="../queryTables/queryTable24.xml"/><Relationship Id="rId178" Type="http://schemas.openxmlformats.org/officeDocument/2006/relationships/queryTable" Target="../queryTables/queryTable45.xml"/><Relationship Id="rId61" Type="http://schemas.openxmlformats.org/officeDocument/2006/relationships/hyperlink" Target="http://www.excel-pratique.com/fr/index_des_fonctions/compatibilite.php" TargetMode="External"/><Relationship Id="rId82" Type="http://schemas.openxmlformats.org/officeDocument/2006/relationships/hyperlink" Target="http://www.excel-pratique.com/fr/telechargements/sport-c16.php" TargetMode="External"/><Relationship Id="rId152" Type="http://schemas.openxmlformats.org/officeDocument/2006/relationships/queryTable" Target="../queryTables/queryTable19.xml"/><Relationship Id="rId173" Type="http://schemas.openxmlformats.org/officeDocument/2006/relationships/queryTable" Target="../queryTables/queryTable40.xml"/><Relationship Id="rId19" Type="http://schemas.openxmlformats.org/officeDocument/2006/relationships/hyperlink" Target="http://www.excel-pratique.com/fr/vba/procedures_fonctions.php" TargetMode="External"/><Relationship Id="rId14" Type="http://schemas.openxmlformats.org/officeDocument/2006/relationships/hyperlink" Target="http://www.excel-pratique.com/fr/vba/introduction.php" TargetMode="External"/><Relationship Id="rId30" Type="http://schemas.openxmlformats.org/officeDocument/2006/relationships/hyperlink" Target="http://www.excel-pratique.com/fr/formation/mise_en_forme_calendrier.php" TargetMode="External"/><Relationship Id="rId35" Type="http://schemas.openxmlformats.org/officeDocument/2006/relationships/hyperlink" Target="http://www.excel-pratique.com/fr/formation/remplissage_userform.php" TargetMode="External"/><Relationship Id="rId56" Type="http://schemas.openxmlformats.org/officeDocument/2006/relationships/hyperlink" Target="http://www.excel-pratique.com/fr/index_des_fonctions/texte.php" TargetMode="External"/><Relationship Id="rId77" Type="http://schemas.openxmlformats.org/officeDocument/2006/relationships/hyperlink" Target="http://www.excel-pratique.com/fr/telechargements/loisirs-c11.php" TargetMode="External"/><Relationship Id="rId100" Type="http://schemas.openxmlformats.org/officeDocument/2006/relationships/hyperlink" Target="http://www.excel-pratique.com/fr/telechargements/calendriers-c5.php" TargetMode="External"/><Relationship Id="rId105" Type="http://schemas.openxmlformats.org/officeDocument/2006/relationships/hyperlink" Target="http://www.excel-pratique.com/fr/telechargements/jeux-c10.php" TargetMode="External"/><Relationship Id="rId126" Type="http://schemas.openxmlformats.org/officeDocument/2006/relationships/hyperlink" Target="http://www.excel-pratique.com/fr/affiliation.php" TargetMode="External"/><Relationship Id="rId147" Type="http://schemas.openxmlformats.org/officeDocument/2006/relationships/queryTable" Target="../queryTables/queryTable14.xml"/><Relationship Id="rId168" Type="http://schemas.openxmlformats.org/officeDocument/2006/relationships/queryTable" Target="../queryTables/queryTable35.xml"/><Relationship Id="rId8" Type="http://schemas.openxmlformats.org/officeDocument/2006/relationships/hyperlink" Target="http://www.excel-pratique.com/fr/cours/excel_formules_calculs_fonctions.php" TargetMode="External"/><Relationship Id="rId51" Type="http://schemas.openxmlformats.org/officeDocument/2006/relationships/hyperlink" Target="http://www.excel-pratique.com/fr/index_des_fonctions/date_et_heure.php" TargetMode="External"/><Relationship Id="rId72" Type="http://schemas.openxmlformats.org/officeDocument/2006/relationships/hyperlink" Target="http://www.excel-pratique.com/fr/telechargements/comptabilite-c6.php" TargetMode="External"/><Relationship Id="rId93" Type="http://schemas.openxmlformats.org/officeDocument/2006/relationships/hyperlink" Target="http://www.excel-pratique.com/fr/logiciels/snake.php" TargetMode="External"/><Relationship Id="rId98" Type="http://schemas.openxmlformats.org/officeDocument/2006/relationships/hyperlink" Target="http://www.excel-pratique.com/fr/telechargements/bd-finance-c3.php" TargetMode="External"/><Relationship Id="rId121" Type="http://schemas.openxmlformats.org/officeDocument/2006/relationships/hyperlink" Target="http://www.excel-pratique.com/fr/telechargements/auteur-408.php" TargetMode="External"/><Relationship Id="rId142" Type="http://schemas.openxmlformats.org/officeDocument/2006/relationships/queryTable" Target="../queryTables/queryTable9.xml"/><Relationship Id="rId163" Type="http://schemas.openxmlformats.org/officeDocument/2006/relationships/queryTable" Target="../queryTables/queryTable30.xml"/><Relationship Id="rId184" Type="http://schemas.openxmlformats.org/officeDocument/2006/relationships/queryTable" Target="../queryTables/queryTable51.xml"/><Relationship Id="rId3" Type="http://schemas.openxmlformats.org/officeDocument/2006/relationships/hyperlink" Target="http://www.excel-pratique.com/fr/cours/excel_bases.php" TargetMode="External"/><Relationship Id="rId25" Type="http://schemas.openxmlformats.org/officeDocument/2006/relationships/hyperlink" Target="http://www.excel-pratique.com/fr/vba/developper_une_application_complexe.php" TargetMode="External"/><Relationship Id="rId46" Type="http://schemas.openxmlformats.org/officeDocument/2006/relationships/hyperlink" Target="http://www.excel-pratique.com/fr/fonctions/excel-recherche-et-reference.php" TargetMode="External"/><Relationship Id="rId67" Type="http://schemas.openxmlformats.org/officeDocument/2006/relationships/hyperlink" Target="http://www.excel-pratique.com/fr/fonctions-complementaires/installation-macro-complementaire.php" TargetMode="External"/><Relationship Id="rId116" Type="http://schemas.openxmlformats.org/officeDocument/2006/relationships/hyperlink" Target="http://www.excel-pratique.com/fr/logiciels/gestion-contacts.php?stats=menu" TargetMode="External"/><Relationship Id="rId137" Type="http://schemas.openxmlformats.org/officeDocument/2006/relationships/queryTable" Target="../queryTables/queryTable4.xml"/><Relationship Id="rId158" Type="http://schemas.openxmlformats.org/officeDocument/2006/relationships/queryTable" Target="../queryTables/queryTable25.xml"/><Relationship Id="rId20" Type="http://schemas.openxmlformats.org/officeDocument/2006/relationships/hyperlink" Target="http://www.excel-pratique.com/fr/vba/boites_de_dialogue.php" TargetMode="External"/><Relationship Id="rId41" Type="http://schemas.openxmlformats.org/officeDocument/2006/relationships/hyperlink" Target="https://forum.excel-pratique.com/" TargetMode="External"/><Relationship Id="rId62" Type="http://schemas.openxmlformats.org/officeDocument/2006/relationships/hyperlink" Target="http://www.excel-pratique.com/fr/index_des_fonctions/web.php" TargetMode="External"/><Relationship Id="rId83" Type="http://schemas.openxmlformats.org/officeDocument/2006/relationships/hyperlink" Target="http://www.excel-pratique.com/fr/telechargements/utilitaires-c17.php" TargetMode="External"/><Relationship Id="rId88" Type="http://schemas.openxmlformats.org/officeDocument/2006/relationships/hyperlink" Target="http://www.excel-pratique.com/fr/logiciels/logiciel_de_comptabilite.php" TargetMode="External"/><Relationship Id="rId111" Type="http://schemas.openxmlformats.org/officeDocument/2006/relationships/hyperlink" Target="http://www.excel-pratique.com/fr/telechargements/sport-c16.php" TargetMode="External"/><Relationship Id="rId132" Type="http://schemas.openxmlformats.org/officeDocument/2006/relationships/hyperlink" Target="http://www.excel-pratique.com/fr/contact.php?infos=1" TargetMode="External"/><Relationship Id="rId153" Type="http://schemas.openxmlformats.org/officeDocument/2006/relationships/queryTable" Target="../queryTables/queryTable20.xml"/><Relationship Id="rId174" Type="http://schemas.openxmlformats.org/officeDocument/2006/relationships/queryTable" Target="../queryTables/queryTable41.xml"/><Relationship Id="rId179" Type="http://schemas.openxmlformats.org/officeDocument/2006/relationships/queryTable" Target="../queryTables/queryTable46.xml"/><Relationship Id="rId15" Type="http://schemas.openxmlformats.org/officeDocument/2006/relationships/hyperlink" Target="http://www.excel-pratique.com/fr/vba/selections.php" TargetMode="External"/><Relationship Id="rId36" Type="http://schemas.openxmlformats.org/officeDocument/2006/relationships/hyperlink" Target="http://www.excel-pratique.com/fr/formation/modification_donnees.php" TargetMode="External"/><Relationship Id="rId57" Type="http://schemas.openxmlformats.org/officeDocument/2006/relationships/hyperlink" Target="http://www.excel-pratique.com/fr/index_des_fonctions/logique.php" TargetMode="External"/><Relationship Id="rId106" Type="http://schemas.openxmlformats.org/officeDocument/2006/relationships/hyperlink" Target="http://www.excel-pratique.com/fr/telechargements/loisirs-c11.php" TargetMode="External"/><Relationship Id="rId127" Type="http://schemas.openxmlformats.org/officeDocument/2006/relationships/hyperlink" Target="http://www.excel-pratique.com/fr/annonceurs.php" TargetMode="External"/><Relationship Id="rId10" Type="http://schemas.openxmlformats.org/officeDocument/2006/relationships/hyperlink" Target="http://www.excel-pratique.com/fr/cours/excel_mises_en_forme_conditionnelles.php" TargetMode="External"/><Relationship Id="rId31" Type="http://schemas.openxmlformats.org/officeDocument/2006/relationships/hyperlink" Target="http://www.excel-pratique.com/fr/formation/choix_annee.php" TargetMode="External"/><Relationship Id="rId52" Type="http://schemas.openxmlformats.org/officeDocument/2006/relationships/hyperlink" Target="http://www.excel-pratique.com/fr/index_des_fonctions/math_et_trigo.php" TargetMode="External"/><Relationship Id="rId73" Type="http://schemas.openxmlformats.org/officeDocument/2006/relationships/hyperlink" Target="http://www.excel-pratique.com/fr/telechargements/convertisseurs-c7.php" TargetMode="External"/><Relationship Id="rId78" Type="http://schemas.openxmlformats.org/officeDocument/2006/relationships/hyperlink" Target="http://www.excel-pratique.com/fr/telechargements/outils-de-gestion-c12.php" TargetMode="External"/><Relationship Id="rId94" Type="http://schemas.openxmlformats.org/officeDocument/2006/relationships/hyperlink" Target="http://www.excel-pratique.com/fr/telechargements/telechargements.php" TargetMode="External"/><Relationship Id="rId99" Type="http://schemas.openxmlformats.org/officeDocument/2006/relationships/hyperlink" Target="http://www.excel-pratique.com/fr/telechargements/budget-gestion-de-comptes-c4.php" TargetMode="External"/><Relationship Id="rId101" Type="http://schemas.openxmlformats.org/officeDocument/2006/relationships/hyperlink" Target="http://www.excel-pratique.com/fr/telechargements/comptabilite-c6.php" TargetMode="External"/><Relationship Id="rId122" Type="http://schemas.openxmlformats.org/officeDocument/2006/relationships/hyperlink" Target="http://www.excel-pratique.com/fr/telechargements/download.php?id=255" TargetMode="External"/><Relationship Id="rId143" Type="http://schemas.openxmlformats.org/officeDocument/2006/relationships/queryTable" Target="../queryTables/queryTable10.xml"/><Relationship Id="rId148" Type="http://schemas.openxmlformats.org/officeDocument/2006/relationships/queryTable" Target="../queryTables/queryTable15.xml"/><Relationship Id="rId164" Type="http://schemas.openxmlformats.org/officeDocument/2006/relationships/queryTable" Target="../queryTables/queryTable31.xml"/><Relationship Id="rId169" Type="http://schemas.openxmlformats.org/officeDocument/2006/relationships/queryTable" Target="../queryTables/queryTable36.xml"/><Relationship Id="rId185" Type="http://schemas.openxmlformats.org/officeDocument/2006/relationships/queryTable" Target="../queryTables/queryTable5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sheetPr codeName="Feuil1">
    <tabColor rgb="FF00B0F0"/>
    <pageSetUpPr fitToPage="1"/>
  </sheetPr>
  <dimension ref="A1:P233"/>
  <sheetViews>
    <sheetView showGridLines="0" showRowColHeaders="0" tabSelected="1" zoomScaleNormal="100" workbookViewId="0">
      <selection sqref="A1:E2"/>
    </sheetView>
  </sheetViews>
  <sheetFormatPr baseColWidth="10" defaultColWidth="0" defaultRowHeight="27.75" customHeight="1" zeroHeight="1"/>
  <cols>
    <col min="1" max="1" width="18.7109375" style="286" customWidth="1"/>
    <col min="2" max="6" width="15.7109375" style="286" customWidth="1"/>
    <col min="7" max="7" width="1.28515625" style="286" customWidth="1"/>
    <col min="8" max="8" width="49.7109375" style="286" customWidth="1"/>
    <col min="9" max="9" width="1" style="286" customWidth="1"/>
    <col min="10" max="10" width="12.85546875" style="2" hidden="1" customWidth="1"/>
    <col min="11" max="11" width="14.140625" style="2" hidden="1" customWidth="1"/>
    <col min="12" max="12" width="15" style="2" hidden="1" customWidth="1"/>
    <col min="13" max="16" width="0" style="2" hidden="1" customWidth="1"/>
    <col min="17" max="16384" width="11.42578125" style="2" hidden="1"/>
  </cols>
  <sheetData>
    <row r="1" spans="1:14" ht="24.75" customHeight="1">
      <c r="A1" s="526" t="str">
        <f>IF(F1="","Merci de renseignez l'année en cours (année de perception des revenus) et de compléter l'ensemble des cellules jaunes qui sont au fur et à mesure débloquées.","Estimation du calcul de l'impôt de "&amp;F2&amp;" sur vos revenus de "&amp;F1)</f>
        <v>Merci de renseignez l'année en cours (année de perception des revenus) et de compléter l'ensemble des cellules jaunes qui sont au fur et à mesure débloquées.</v>
      </c>
      <c r="B1" s="527"/>
      <c r="C1" s="527"/>
      <c r="D1" s="527"/>
      <c r="E1" s="528"/>
      <c r="F1" s="141"/>
      <c r="G1" s="1"/>
      <c r="H1" s="543"/>
      <c r="I1" s="2"/>
    </row>
    <row r="2" spans="1:14" ht="24" customHeight="1">
      <c r="A2" s="529"/>
      <c r="B2" s="530"/>
      <c r="C2" s="530"/>
      <c r="D2" s="530"/>
      <c r="E2" s="531"/>
      <c r="F2" s="142" t="str">
        <f>IF(F1="","",F1+1)</f>
        <v/>
      </c>
      <c r="G2" s="1"/>
      <c r="H2" s="543"/>
      <c r="I2" s="3"/>
      <c r="J2" s="3"/>
      <c r="K2" s="3"/>
      <c r="L2" s="3"/>
      <c r="M2" s="3"/>
      <c r="N2" s="3"/>
    </row>
    <row r="3" spans="1:14" ht="12" customHeight="1">
      <c r="A3" s="143" t="str">
        <f>IF(F1="","","Déclarant 1")</f>
        <v/>
      </c>
      <c r="B3" s="4"/>
      <c r="C3" s="4"/>
      <c r="D3" s="4"/>
      <c r="E3" s="4"/>
      <c r="F3" s="144"/>
      <c r="G3" s="1"/>
      <c r="H3" s="3"/>
      <c r="I3" s="3"/>
      <c r="J3" s="254"/>
      <c r="K3" s="3"/>
      <c r="L3" s="3"/>
      <c r="M3" s="3"/>
      <c r="N3" s="3"/>
    </row>
    <row r="4" spans="1:14" ht="15.75">
      <c r="A4" s="147" t="s">
        <v>1</v>
      </c>
      <c r="B4" s="532"/>
      <c r="C4" s="493"/>
      <c r="D4" s="148" t="s">
        <v>16</v>
      </c>
      <c r="E4" s="149"/>
      <c r="F4" s="150" t="str">
        <f>IF(OR(F1="",E4=""),"",ROUNDDOWN((("01/01/"&amp;F1)-E4)/360.25,0))</f>
        <v/>
      </c>
      <c r="G4" s="5"/>
      <c r="H4" s="118" t="str">
        <f>IF(F4&lt;18,"Le Déclarant 1 est mineur, vérifiez votre saisie!",IF(AND(E4&lt;&gt;"",F4&gt;99),"Le Déclarant 1 est présumé décédé.",""))</f>
        <v/>
      </c>
      <c r="I4" s="3"/>
      <c r="J4" s="3"/>
      <c r="K4" s="3"/>
      <c r="L4" s="3"/>
      <c r="M4" s="3"/>
      <c r="N4" s="3"/>
    </row>
    <row r="5" spans="1:14" ht="15.75">
      <c r="A5" s="151" t="s">
        <v>2</v>
      </c>
      <c r="B5" s="492"/>
      <c r="C5" s="505"/>
      <c r="D5" s="27" t="s">
        <v>5</v>
      </c>
      <c r="E5" s="506"/>
      <c r="F5" s="507"/>
      <c r="G5" s="5"/>
      <c r="H5" s="255"/>
      <c r="I5" s="3"/>
      <c r="J5" s="3"/>
      <c r="K5" s="3"/>
      <c r="L5" s="3"/>
      <c r="M5" s="3"/>
      <c r="N5" s="3"/>
    </row>
    <row r="6" spans="1:14" ht="15.75">
      <c r="A6" s="152" t="s">
        <v>3</v>
      </c>
      <c r="B6" s="533"/>
      <c r="C6" s="508"/>
      <c r="D6" s="508"/>
      <c r="E6" s="508"/>
      <c r="F6" s="509"/>
      <c r="G6" s="5"/>
      <c r="H6" s="3"/>
      <c r="I6" s="116"/>
      <c r="J6" s="116"/>
      <c r="K6" s="3"/>
      <c r="L6" s="3"/>
      <c r="M6" s="3"/>
      <c r="N6" s="3"/>
    </row>
    <row r="7" spans="1:14" ht="12" customHeight="1">
      <c r="A7" s="143" t="str">
        <f>IF(B7="oui","Déclarant 2",IF(B7="non","",IF(B6&lt;&gt;"","Déclarant 2     ?","")))</f>
        <v/>
      </c>
      <c r="B7" s="274"/>
      <c r="C7" s="6"/>
      <c r="D7" s="6"/>
      <c r="E7" s="44"/>
      <c r="F7" s="145"/>
      <c r="G7" s="5"/>
      <c r="H7" s="3"/>
      <c r="I7" s="116"/>
      <c r="J7" s="3"/>
      <c r="K7" s="3"/>
      <c r="L7" s="3"/>
      <c r="M7" s="3"/>
      <c r="N7" s="3"/>
    </row>
    <row r="8" spans="1:14" ht="15.75">
      <c r="A8" s="147" t="s">
        <v>1</v>
      </c>
      <c r="B8" s="492"/>
      <c r="C8" s="493"/>
      <c r="D8" s="148" t="s">
        <v>16</v>
      </c>
      <c r="E8" s="149"/>
      <c r="F8" s="150" t="str">
        <f>IF(OR(F1="",E8=""),"",ROUNDDOWN((("01/01/"&amp;F1)-E8)/360.25,0))</f>
        <v/>
      </c>
      <c r="G8" s="5"/>
      <c r="H8" s="118" t="str">
        <f>IF(F8&lt;18,"Le Déclarant 2 est mineur, vérifiez votre saisie!",IF(AND(E8&lt;&gt;"",F8&gt;99),"Le Déclarant 2 est présumé décédé.",""))</f>
        <v/>
      </c>
      <c r="I8" s="3"/>
      <c r="J8" s="3"/>
      <c r="K8" s="3"/>
      <c r="L8" s="3"/>
      <c r="M8" s="3"/>
      <c r="N8" s="3"/>
    </row>
    <row r="9" spans="1:14" ht="15.75">
      <c r="A9" s="151" t="s">
        <v>2</v>
      </c>
      <c r="B9" s="492"/>
      <c r="C9" s="505"/>
      <c r="D9" s="27" t="s">
        <v>5</v>
      </c>
      <c r="E9" s="506"/>
      <c r="F9" s="507"/>
      <c r="G9" s="5"/>
      <c r="H9" s="3"/>
      <c r="I9" s="3"/>
      <c r="J9" s="3"/>
      <c r="K9" s="3"/>
      <c r="L9" s="3"/>
      <c r="M9" s="3"/>
      <c r="N9" s="3"/>
    </row>
    <row r="10" spans="1:14" ht="15.75">
      <c r="A10" s="152" t="s">
        <v>3</v>
      </c>
      <c r="B10" s="508"/>
      <c r="C10" s="508"/>
      <c r="D10" s="508"/>
      <c r="E10" s="508"/>
      <c r="F10" s="509"/>
      <c r="G10" s="5"/>
      <c r="H10" s="3"/>
      <c r="I10" s="3"/>
      <c r="J10" s="3"/>
      <c r="K10" s="3"/>
      <c r="L10" s="3"/>
      <c r="M10" s="3"/>
      <c r="N10" s="3"/>
    </row>
    <row r="11" spans="1:14" ht="11.25" customHeight="1">
      <c r="A11" s="146"/>
      <c r="B11" s="6"/>
      <c r="C11" s="6"/>
      <c r="D11" s="6"/>
      <c r="E11" s="43"/>
      <c r="F11" s="145"/>
      <c r="G11" s="5"/>
      <c r="H11" s="3"/>
      <c r="I11" s="2"/>
      <c r="J11" s="3"/>
      <c r="K11" s="3"/>
      <c r="L11" s="3"/>
      <c r="M11" s="3"/>
      <c r="N11" s="3"/>
    </row>
    <row r="12" spans="1:14" ht="15.75">
      <c r="A12" s="510" t="str">
        <f>IF(AND(B4&lt;&gt;"",B8&lt;&gt;""),"Existe-t-il déjà un Foyer Fiscal ?","")</f>
        <v/>
      </c>
      <c r="B12" s="511"/>
      <c r="C12" s="153"/>
      <c r="D12" s="512" t="str">
        <f>IF(B4&lt;&gt;"","Evénement(s) au cours de l'année "&amp;F1,"")</f>
        <v/>
      </c>
      <c r="E12" s="513"/>
      <c r="F12" s="268"/>
      <c r="G12" s="5"/>
      <c r="H12" s="544" t="str">
        <f>IF(OR(AND(B7="non",F12="oui",B13="non"),AND(F12="oui",B13="non",B15="non"),AND(F12="oui",B13="non",B7="oui",C12="oui")),"Vérifiez votre saisie","")</f>
        <v/>
      </c>
      <c r="I12" s="3"/>
      <c r="J12" s="3"/>
      <c r="K12" s="3"/>
      <c r="L12" s="3"/>
      <c r="M12" s="3"/>
      <c r="N12" s="3"/>
    </row>
    <row r="13" spans="1:14" ht="15.75">
      <c r="A13" s="154" t="str">
        <f>IF(F12="","",IF(F12="oui","Déménagement ?",""))</f>
        <v/>
      </c>
      <c r="B13" s="268"/>
      <c r="C13" s="269" t="str">
        <f>IF(B13="OUI","DATE EVT &gt;&gt;&gt;","")</f>
        <v/>
      </c>
      <c r="D13" s="276"/>
      <c r="E13" s="525"/>
      <c r="F13" s="525"/>
      <c r="G13" s="5"/>
      <c r="H13" s="544"/>
      <c r="I13" s="116"/>
      <c r="M13" s="3"/>
      <c r="N13" s="3"/>
    </row>
    <row r="14" spans="1:14" ht="15.75">
      <c r="A14" s="267" t="str">
        <f>IF(B13="OUI","Nvl ADRE &gt;&gt;&gt;","")</f>
        <v/>
      </c>
      <c r="B14" s="521"/>
      <c r="C14" s="521"/>
      <c r="D14" s="521"/>
      <c r="E14" s="521"/>
      <c r="F14" s="521"/>
      <c r="G14" s="5"/>
      <c r="H14" s="544"/>
      <c r="I14" s="116"/>
      <c r="M14" s="3"/>
      <c r="N14" s="3"/>
    </row>
    <row r="15" spans="1:14" ht="15.75">
      <c r="A15" s="155" t="str">
        <f>IF(AND(F12="OUI",C12="non"),"Union ?","")</f>
        <v/>
      </c>
      <c r="B15" s="270"/>
      <c r="C15" s="271" t="str">
        <f>IF(B15="OUI","TYPE EVT &gt;&gt;&gt;","")</f>
        <v/>
      </c>
      <c r="D15" s="272"/>
      <c r="E15" s="271" t="str">
        <f>IF(B15="OUI","DATE EVT &gt;&gt;&gt;","")</f>
        <v/>
      </c>
      <c r="F15" s="273"/>
      <c r="G15" s="29"/>
      <c r="H15" s="544"/>
      <c r="I15" s="3"/>
      <c r="J15" s="3"/>
      <c r="K15" s="3"/>
      <c r="L15" s="3"/>
      <c r="M15" s="3"/>
      <c r="N15" s="3"/>
    </row>
    <row r="16" spans="1:14" ht="15.75">
      <c r="A16" s="518" t="str">
        <f>IF(B15="oui"," En cas d'évènement, c'est la situation au 31/12 de l'année qui permet de déterminer le type de déclaration (individuelle/commune)","")</f>
        <v/>
      </c>
      <c r="B16" s="519"/>
      <c r="C16" s="519"/>
      <c r="D16" s="519"/>
      <c r="E16" s="519"/>
      <c r="F16" s="520"/>
      <c r="G16" s="5"/>
      <c r="H16" s="3"/>
      <c r="I16" s="116"/>
      <c r="J16" s="3"/>
      <c r="K16" s="3"/>
      <c r="L16" s="3"/>
      <c r="M16" s="3"/>
      <c r="N16" s="3"/>
    </row>
    <row r="17" spans="1:14" ht="16.5" thickBot="1">
      <c r="A17" s="522" t="s">
        <v>19</v>
      </c>
      <c r="B17" s="523"/>
      <c r="C17" s="524"/>
      <c r="D17" s="516" t="str">
        <f>"Nombre d'enfants au 31/12/"&amp;F1</f>
        <v>Nombre d'enfants au 31/12/</v>
      </c>
      <c r="E17" s="517"/>
      <c r="F17" s="156"/>
      <c r="G17" s="7"/>
      <c r="H17" s="3"/>
      <c r="I17" s="3"/>
      <c r="J17" s="3"/>
      <c r="K17" s="3"/>
      <c r="L17" s="3"/>
      <c r="M17" s="3"/>
      <c r="N17" s="3"/>
    </row>
    <row r="18" spans="1:14" ht="15.75">
      <c r="A18" s="157" t="str">
        <f>IF(AND(B7="oui",C12="non",OR(F12="non",AND(F12="oui",B15="non"))),"A charge pour","")</f>
        <v/>
      </c>
      <c r="B18" s="71" t="str">
        <f>B4&amp;" "&amp;B5</f>
        <v xml:space="preserve"> </v>
      </c>
      <c r="C18" s="71" t="str">
        <f>B8&amp;" "&amp;B9</f>
        <v xml:space="preserve"> </v>
      </c>
      <c r="D18" s="514" t="str">
        <f>IF(AND(F17&gt;0,F17&lt;9),"dont "&amp;SUM(E19:E21)&amp;" Scolarisé(s)","")</f>
        <v/>
      </c>
      <c r="E18" s="515"/>
      <c r="F18" s="158" t="str">
        <f>IF(AND(F17&gt;0,F17&lt;9),"Réduction(s)","")</f>
        <v/>
      </c>
      <c r="G18" s="7"/>
      <c r="H18" s="3"/>
      <c r="I18" s="3"/>
      <c r="J18" s="3"/>
      <c r="K18" s="3"/>
      <c r="L18" s="3"/>
      <c r="M18" s="3"/>
      <c r="N18" s="3"/>
    </row>
    <row r="19" spans="1:14" ht="15.75">
      <c r="A19" s="157" t="str">
        <f>IF(OR(B7="non",AND(B7="oui",C12="non",OR(F12="non",AND(F12="oui",B15="non")))),"A 100%","")</f>
        <v/>
      </c>
      <c r="B19" s="54"/>
      <c r="C19" s="54"/>
      <c r="D19" s="48" t="str">
        <f>IF(D18&lt;&gt;"","Collège","")</f>
        <v/>
      </c>
      <c r="E19" s="49"/>
      <c r="F19" s="159" t="str">
        <f>IF(E19&lt;&gt;"",E19*G19&amp;",00€ ("&amp;E19&amp;"*"&amp;G19&amp;")","")</f>
        <v/>
      </c>
      <c r="G19" s="50">
        <f>Admin!F60</f>
        <v>61</v>
      </c>
      <c r="H19" s="552" t="str">
        <f>IF(F17="","",IF(F17&lt;SUM(E19:E21),"Incohérence entre le nombre d'enfants à charge fiscalement et le nombre d'enfants scolarisés",IF(AND(B7="oui",C12="oui"),"",IF(B7="non",IF(F17&lt;&gt;(B19+C19+B20+C20),"Incohérence sur le nombre repris d'enfants à charge fiscalement",""),IF(AND(B7="oui",C12="non",OR(F12="non",AND(F12="oui",B15="non"))),IF(F17&lt;&gt;(B19+C19+B20/2+C20/2),"Incohérence sur le nombre repris d'enfants à charge fiscalement",""))))))</f>
        <v/>
      </c>
      <c r="I19" s="3"/>
      <c r="J19" s="3"/>
      <c r="K19" s="3"/>
      <c r="L19" s="3"/>
      <c r="M19" s="3"/>
      <c r="N19" s="3"/>
    </row>
    <row r="20" spans="1:14" ht="15.75">
      <c r="A20" s="157" t="str">
        <f>IF(OR(B7="non",AND(B7="oui",C12="non",OR(F12="non",AND(F12="oui",B15="non")))),"A 50%","")</f>
        <v/>
      </c>
      <c r="B20" s="54"/>
      <c r="C20" s="54"/>
      <c r="D20" s="48" t="str">
        <f>IF(D18&lt;&gt;"","Lycée","")</f>
        <v/>
      </c>
      <c r="E20" s="49"/>
      <c r="F20" s="159" t="str">
        <f t="shared" ref="F20:F21" si="0">IF(E20&lt;&gt;"",E20*G20&amp;",00€ ("&amp;E20&amp;"*"&amp;G20&amp;")","")</f>
        <v/>
      </c>
      <c r="G20" s="50">
        <f>Admin!F61</f>
        <v>153</v>
      </c>
      <c r="H20" s="552"/>
      <c r="I20" s="3"/>
      <c r="J20" s="3"/>
      <c r="K20" s="3"/>
      <c r="L20" s="3"/>
      <c r="M20" s="3"/>
      <c r="N20" s="3"/>
    </row>
    <row r="21" spans="1:14" ht="16.5" thickBot="1">
      <c r="A21" s="235" t="str">
        <f>IF(B7&lt;&gt;"","1/2 part(s) ou part(s) Suppl.","")</f>
        <v/>
      </c>
      <c r="B21" s="236"/>
      <c r="C21" s="236"/>
      <c r="D21" s="237" t="str">
        <f>IF(D18&lt;&gt;"","Enseignt Sup.","")</f>
        <v/>
      </c>
      <c r="E21" s="238"/>
      <c r="F21" s="239" t="str">
        <f t="shared" si="0"/>
        <v/>
      </c>
      <c r="G21" s="50">
        <f>Admin!F62</f>
        <v>183</v>
      </c>
      <c r="H21" s="552"/>
      <c r="I21" s="3"/>
      <c r="J21" s="3"/>
      <c r="K21" s="3"/>
      <c r="L21" s="3"/>
      <c r="M21" s="3"/>
      <c r="N21" s="3"/>
    </row>
    <row r="22" spans="1:14" ht="15" customHeight="1" thickBot="1">
      <c r="A22" s="553" t="str">
        <f>IF(OR(F1="",B4="",E4="",B5="",B6="",H4&lt;&gt;"",B7=""),"","Remplir ci-dessous les revenus nets imposables mensuels perçus du 01/01/"&amp;F1&amp;" au 31/12/"&amp;F1&amp;" (cf bulletins de salaire)")</f>
        <v/>
      </c>
      <c r="B22" s="554"/>
      <c r="C22" s="554"/>
      <c r="D22" s="554"/>
      <c r="E22" s="554"/>
      <c r="F22" s="555"/>
      <c r="G22" s="7"/>
      <c r="H22" s="47"/>
      <c r="I22" s="3"/>
      <c r="J22" s="3"/>
      <c r="K22" s="3"/>
      <c r="L22" s="3"/>
      <c r="M22" s="3"/>
      <c r="N22" s="3"/>
    </row>
    <row r="23" spans="1:14" ht="7.5" hidden="1" customHeight="1">
      <c r="A23" s="146"/>
      <c r="B23" s="6"/>
      <c r="C23" s="6"/>
      <c r="D23" s="6"/>
      <c r="E23" s="240"/>
      <c r="F23" s="241"/>
      <c r="G23" s="5"/>
      <c r="H23" s="3"/>
      <c r="I23" s="3"/>
      <c r="J23" s="3"/>
      <c r="K23" s="3"/>
      <c r="L23" s="3"/>
      <c r="M23" s="3"/>
      <c r="N23" s="3"/>
    </row>
    <row r="24" spans="1:14" s="8" customFormat="1" ht="15.75" thickBot="1">
      <c r="A24" s="160"/>
      <c r="B24" s="494" t="str">
        <f>IF(B8&lt;&gt;"","Déclarations Individuelles","Déclaration Individuelle")</f>
        <v>Déclaration Individuelle</v>
      </c>
      <c r="C24" s="495"/>
      <c r="D24" s="496" t="s">
        <v>15</v>
      </c>
      <c r="E24" s="497"/>
      <c r="F24" s="498"/>
      <c r="H24" s="3"/>
      <c r="I24" s="3"/>
      <c r="J24" s="3"/>
      <c r="K24" s="3"/>
      <c r="L24" s="3"/>
      <c r="M24" s="3"/>
      <c r="N24" s="3"/>
    </row>
    <row r="25" spans="1:14" ht="46.5" customHeight="1" thickBot="1">
      <c r="A25" s="161" t="s">
        <v>0</v>
      </c>
      <c r="B25" s="78" t="str">
        <f>"Salaires Mensuels Nets Imposables "&amp;B4&amp;" "&amp;B5</f>
        <v xml:space="preserve">Salaires Mensuels Nets Imposables  </v>
      </c>
      <c r="C25" s="75" t="str">
        <f>"Salaires Mensuels Nets Imposables "&amp;B8&amp;" "&amp;B9</f>
        <v xml:space="preserve">Salaires Mensuels Nets Imposables  </v>
      </c>
      <c r="D25" s="73" t="str">
        <f>B25</f>
        <v xml:space="preserve">Salaires Mensuels Nets Imposables  </v>
      </c>
      <c r="E25" s="70" t="str">
        <f>C25</f>
        <v xml:space="preserve">Salaires Mensuels Nets Imposables  </v>
      </c>
      <c r="F25" s="162" t="s">
        <v>31</v>
      </c>
      <c r="G25" s="2"/>
      <c r="H25" s="3"/>
      <c r="I25" s="3"/>
      <c r="J25" s="3"/>
      <c r="K25" s="3"/>
      <c r="L25" s="3"/>
      <c r="M25" s="3"/>
      <c r="N25" s="3"/>
    </row>
    <row r="26" spans="1:14" ht="15" customHeight="1">
      <c r="A26" s="163" t="str">
        <f>"Janvier "&amp;$F$1</f>
        <v xml:space="preserve">Janvier </v>
      </c>
      <c r="B26" s="87"/>
      <c r="C26" s="88"/>
      <c r="D26" s="82"/>
      <c r="E26" s="83"/>
      <c r="F26" s="164" t="str">
        <f>IF(AND(D26="",E26=""),"",SUM(D26:E26))</f>
        <v/>
      </c>
      <c r="G26" s="28"/>
      <c r="H26" s="558"/>
      <c r="I26" s="2"/>
      <c r="J26" s="535"/>
      <c r="K26" s="535"/>
      <c r="L26" s="535"/>
      <c r="M26" s="535"/>
    </row>
    <row r="27" spans="1:14" ht="15.75">
      <c r="A27" s="165" t="str">
        <f>"Février "&amp;$F$1</f>
        <v xml:space="preserve">Février </v>
      </c>
      <c r="B27" s="79"/>
      <c r="C27" s="76"/>
      <c r="D27" s="84"/>
      <c r="E27" s="85"/>
      <c r="F27" s="166" t="str">
        <f t="shared" ref="F27:F37" si="1">IF(AND(D27="",E27=""),"",SUM(D27:E27))</f>
        <v/>
      </c>
      <c r="G27" s="28"/>
      <c r="H27" s="558"/>
      <c r="I27" s="2"/>
      <c r="J27" s="535"/>
      <c r="K27" s="535"/>
      <c r="L27" s="535"/>
      <c r="M27" s="535"/>
    </row>
    <row r="28" spans="1:14" ht="15.75">
      <c r="A28" s="165" t="str">
        <f>"Mars "&amp;$F$1</f>
        <v xml:space="preserve">Mars </v>
      </c>
      <c r="B28" s="79"/>
      <c r="C28" s="76"/>
      <c r="D28" s="84"/>
      <c r="E28" s="85"/>
      <c r="F28" s="166" t="str">
        <f t="shared" si="1"/>
        <v/>
      </c>
      <c r="G28" s="28"/>
      <c r="H28" s="558"/>
      <c r="I28" s="2"/>
      <c r="J28" s="536"/>
      <c r="K28" s="536"/>
      <c r="L28" s="536"/>
      <c r="M28" s="63"/>
    </row>
    <row r="29" spans="1:14" ht="15.75">
      <c r="A29" s="165" t="str">
        <f>"Avril "&amp;$F$1</f>
        <v xml:space="preserve">Avril </v>
      </c>
      <c r="B29" s="79"/>
      <c r="C29" s="76"/>
      <c r="D29" s="84"/>
      <c r="E29" s="85"/>
      <c r="F29" s="166" t="str">
        <f t="shared" si="1"/>
        <v/>
      </c>
      <c r="G29" s="28"/>
      <c r="H29" s="558"/>
      <c r="I29" s="2"/>
      <c r="J29" s="536"/>
      <c r="K29" s="536"/>
      <c r="L29" s="536"/>
      <c r="M29" s="63"/>
    </row>
    <row r="30" spans="1:14" ht="15.75">
      <c r="A30" s="165" t="str">
        <f>"Mai "&amp;$F$1</f>
        <v xml:space="preserve">Mai </v>
      </c>
      <c r="B30" s="79"/>
      <c r="C30" s="76"/>
      <c r="D30" s="84"/>
      <c r="E30" s="85"/>
      <c r="F30" s="166" t="str">
        <f t="shared" si="1"/>
        <v/>
      </c>
      <c r="G30" s="28"/>
      <c r="H30" s="558"/>
      <c r="I30" s="2"/>
      <c r="J30" s="536"/>
      <c r="K30" s="536"/>
      <c r="L30" s="536"/>
      <c r="M30" s="39"/>
    </row>
    <row r="31" spans="1:14" ht="15.75">
      <c r="A31" s="165" t="str">
        <f>"Juin "&amp;$F$1</f>
        <v xml:space="preserve">Juin </v>
      </c>
      <c r="B31" s="79"/>
      <c r="C31" s="76"/>
      <c r="D31" s="84"/>
      <c r="E31" s="85"/>
      <c r="F31" s="166" t="str">
        <f t="shared" si="1"/>
        <v/>
      </c>
      <c r="G31" s="28"/>
      <c r="H31" s="558"/>
      <c r="I31" s="2"/>
      <c r="J31" s="536"/>
      <c r="K31" s="536"/>
      <c r="L31" s="536"/>
      <c r="M31" s="40"/>
    </row>
    <row r="32" spans="1:14" ht="15.75">
      <c r="A32" s="165" t="str">
        <f>"Juillet "&amp;$F$1</f>
        <v xml:space="preserve">Juillet </v>
      </c>
      <c r="B32" s="79"/>
      <c r="C32" s="76"/>
      <c r="D32" s="84"/>
      <c r="E32" s="85"/>
      <c r="F32" s="166" t="str">
        <f t="shared" si="1"/>
        <v/>
      </c>
      <c r="G32" s="28"/>
      <c r="H32" s="558"/>
      <c r="I32" s="2"/>
      <c r="J32" s="537"/>
      <c r="K32" s="537"/>
      <c r="L32" s="537"/>
      <c r="M32" s="537"/>
    </row>
    <row r="33" spans="1:13" ht="15.75">
      <c r="A33" s="165" t="str">
        <f>"Août "&amp;$F$1</f>
        <v xml:space="preserve">Août </v>
      </c>
      <c r="B33" s="79"/>
      <c r="C33" s="76"/>
      <c r="D33" s="84"/>
      <c r="E33" s="85"/>
      <c r="F33" s="166" t="str">
        <f t="shared" si="1"/>
        <v/>
      </c>
      <c r="G33" s="28"/>
      <c r="H33" s="558"/>
      <c r="I33" s="2"/>
      <c r="J33" s="536"/>
      <c r="K33" s="536"/>
      <c r="L33" s="536"/>
      <c r="M33" s="39"/>
    </row>
    <row r="34" spans="1:13" ht="15.75">
      <c r="A34" s="165" t="str">
        <f>"Septembre "&amp;$F$1</f>
        <v xml:space="preserve">Septembre </v>
      </c>
      <c r="B34" s="79"/>
      <c r="C34" s="76"/>
      <c r="D34" s="84"/>
      <c r="E34" s="85"/>
      <c r="F34" s="166" t="str">
        <f t="shared" si="1"/>
        <v/>
      </c>
      <c r="G34" s="28"/>
      <c r="H34" s="558"/>
      <c r="I34" s="2"/>
      <c r="J34" s="536"/>
      <c r="K34" s="536"/>
      <c r="L34" s="536"/>
      <c r="M34" s="39"/>
    </row>
    <row r="35" spans="1:13" ht="15.75">
      <c r="A35" s="165" t="str">
        <f>"Octobre "&amp;$F$1</f>
        <v xml:space="preserve">Octobre </v>
      </c>
      <c r="B35" s="79"/>
      <c r="C35" s="76"/>
      <c r="D35" s="84"/>
      <c r="E35" s="85"/>
      <c r="F35" s="166" t="str">
        <f t="shared" si="1"/>
        <v/>
      </c>
      <c r="G35" s="28"/>
      <c r="H35" s="558"/>
      <c r="I35" s="2"/>
      <c r="J35" s="534"/>
      <c r="K35" s="534"/>
      <c r="L35" s="534"/>
      <c r="M35" s="534"/>
    </row>
    <row r="36" spans="1:13" ht="15.75">
      <c r="A36" s="165" t="str">
        <f>"Novembre "&amp;$F$1</f>
        <v xml:space="preserve">Novembre </v>
      </c>
      <c r="B36" s="79"/>
      <c r="C36" s="76"/>
      <c r="D36" s="84"/>
      <c r="E36" s="85"/>
      <c r="F36" s="166" t="str">
        <f t="shared" si="1"/>
        <v/>
      </c>
      <c r="G36" s="28"/>
      <c r="H36" s="558"/>
      <c r="I36" s="2"/>
      <c r="J36" s="41"/>
      <c r="K36" s="42"/>
      <c r="L36" s="41"/>
      <c r="M36" s="42"/>
    </row>
    <row r="37" spans="1:13" ht="16.5" thickBot="1">
      <c r="A37" s="165" t="str">
        <f>"Décembre "&amp;$F$1</f>
        <v xml:space="preserve">Décembre </v>
      </c>
      <c r="B37" s="79"/>
      <c r="C37" s="76"/>
      <c r="D37" s="84"/>
      <c r="E37" s="85"/>
      <c r="F37" s="166" t="str">
        <f t="shared" si="1"/>
        <v/>
      </c>
      <c r="G37" s="28"/>
      <c r="H37" s="558"/>
      <c r="I37" s="2"/>
      <c r="J37" s="41"/>
      <c r="K37" s="42"/>
      <c r="L37" s="41"/>
      <c r="M37" s="42"/>
    </row>
    <row r="38" spans="1:13" ht="15.75" thickBot="1">
      <c r="A38" s="167" t="s">
        <v>6</v>
      </c>
      <c r="B38" s="80"/>
      <c r="C38" s="77"/>
      <c r="D38" s="86"/>
      <c r="E38" s="38"/>
      <c r="F38" s="168" t="str">
        <f>IF(AND(D38="",E38=""),"",SUM(D38:E38))</f>
        <v/>
      </c>
      <c r="G38" s="2"/>
      <c r="H38" s="2"/>
      <c r="I38" s="2"/>
    </row>
    <row r="39" spans="1:13" ht="15" hidden="1" customHeight="1" thickBot="1">
      <c r="A39" s="169" t="s">
        <v>8</v>
      </c>
      <c r="B39" s="67" t="str">
        <f>IF(B38="","",SUM(B26:B38))</f>
        <v/>
      </c>
      <c r="C39" s="68" t="str">
        <f>IF(C38="","",SUM(C26:C38))</f>
        <v/>
      </c>
      <c r="D39" s="67" t="str">
        <f>IF(D38="","",SUM(D26:D38))</f>
        <v/>
      </c>
      <c r="E39" s="62" t="str">
        <f>IF(E38="","",SUM(E26:E38))</f>
        <v/>
      </c>
      <c r="F39" s="166" t="str">
        <f>IF(F38="","",SUM(F26:F38))</f>
        <v/>
      </c>
      <c r="G39" s="2"/>
      <c r="H39" s="2"/>
      <c r="I39" s="2"/>
    </row>
    <row r="40" spans="1:13" ht="10.5" hidden="1" customHeight="1" thickBot="1">
      <c r="A40" s="170"/>
      <c r="B40" s="74"/>
      <c r="C40" s="64"/>
      <c r="D40" s="65"/>
      <c r="E40" s="66"/>
      <c r="F40" s="171"/>
      <c r="G40" s="2"/>
      <c r="H40" s="2"/>
      <c r="I40" s="2"/>
    </row>
    <row r="41" spans="1:13" ht="28.5" customHeight="1">
      <c r="A41" s="172" t="s">
        <v>21</v>
      </c>
      <c r="B41" s="90" t="str">
        <f>IF(B39="","",ROUND(B39,0))</f>
        <v/>
      </c>
      <c r="C41" s="120" t="str">
        <f>IF(C39="","",ROUND(C39,0))</f>
        <v/>
      </c>
      <c r="D41" s="92" t="str">
        <f>IF(D39="","",ROUND(D39,0))</f>
        <v/>
      </c>
      <c r="E41" s="93" t="str">
        <f>IF(E39="","",ROUND(E39,0))</f>
        <v/>
      </c>
      <c r="F41" s="561"/>
      <c r="G41" s="2"/>
      <c r="H41" s="2"/>
      <c r="I41" s="2"/>
    </row>
    <row r="42" spans="1:13" ht="28.5" customHeight="1">
      <c r="A42" s="261" t="s">
        <v>67</v>
      </c>
      <c r="B42" s="112" t="str">
        <f>IF(B41="","",IF(OR('Frais Réels - détails'!I39&lt;&gt;"",'Frais Réels (multi options)'!J69&lt;&gt;""),IF('Frais Réels - détails'!I39&gt;B41*0.1,'Frais Réels - détails'!I39,IF('Frais Réels (multi options)'!J69&gt;B41*0.1,'Frais Réels (multi options)'!J69,ROUND(B41*0.1,0))),ROUND(B41*0.1,0)))</f>
        <v/>
      </c>
      <c r="C42" s="112" t="str">
        <f>IF(C41="","",IF(OR('Frais Réels - détails'!S39&lt;&gt;"",'Frais Réels (multi options)'!J70&lt;&gt;""),IF('Frais Réels - détails'!S39&gt;C41*0.1,'Frais Réels - détails'!S39,IF('Frais Réels (multi options)'!J70&gt;C41*0.1,'Frais Réels (multi options)'!J70,ROUND(C41*0.1,0))),ROUND(C41*0.1,0)))</f>
        <v/>
      </c>
      <c r="D42" s="257" t="str">
        <f>IF(D41="","",IF(OR('Frais Réels - détails'!I39&lt;&gt;"",'Frais Réels (multi options)'!J69&lt;&gt;""),IF('Frais Réels - détails'!I39&gt;D41*0.1,'Frais Réels - détails'!I39,IF('Frais Réels (multi options)'!J69&gt;D41*0.1,'Frais Réels (multi options)'!J69,ROUND(D41*0.1,0))),ROUND(D41*0.1,0)))</f>
        <v/>
      </c>
      <c r="E42" s="97" t="str">
        <f>IF(E41="","",IF(OR('Frais Réels - détails'!S39&lt;&gt;"",'Frais Réels (multi options)'!J70&lt;&gt;""),IF('Frais Réels - détails'!S39&gt;E41*0.1,'Frais Réels - détails'!S39,IF('Frais Réels (multi options)'!J70&gt;E41*0.1,'Frais Réels (multi options)'!J70,ROUND(E41*0.1,0))),ROUND(E41*0.1,0)))</f>
        <v/>
      </c>
      <c r="F42" s="562"/>
      <c r="G42" s="2"/>
      <c r="H42" s="45" t="str">
        <f>IF(OR(B42&lt;&gt;"",C42&lt;&gt;"",D42&lt;&gt;"",E42&lt;&gt;""),"Vous pouvez également saisir le montant à l'euro près de vos frais réels. Réalisez vos calculs et détails en cliquant ICI.","")</f>
        <v/>
      </c>
      <c r="I42" s="2"/>
    </row>
    <row r="43" spans="1:13" ht="28.5" customHeight="1">
      <c r="A43" s="173" t="s">
        <v>20</v>
      </c>
      <c r="B43" s="94" t="str">
        <f>IF(B41="","",B41-B42)</f>
        <v/>
      </c>
      <c r="C43" s="94" t="str">
        <f>IF(C41="","",C41-C42)</f>
        <v/>
      </c>
      <c r="D43" s="96" t="str">
        <f>IF(D41="","",D41-D42)</f>
        <v/>
      </c>
      <c r="E43" s="97" t="str">
        <f>IF(E41="","",E41-E42)</f>
        <v/>
      </c>
      <c r="F43" s="562"/>
      <c r="G43" s="2"/>
      <c r="H43" s="37"/>
      <c r="I43" s="2"/>
    </row>
    <row r="44" spans="1:13" ht="28.5" customHeight="1">
      <c r="A44" s="174" t="s">
        <v>22</v>
      </c>
      <c r="B44" s="98"/>
      <c r="C44" s="98"/>
      <c r="D44" s="99"/>
      <c r="E44" s="100"/>
      <c r="F44" s="562"/>
      <c r="G44" s="2"/>
      <c r="H44" s="37"/>
      <c r="I44" s="2"/>
    </row>
    <row r="45" spans="1:13" ht="28.5" customHeight="1">
      <c r="A45" s="173" t="s">
        <v>23</v>
      </c>
      <c r="B45" s="94" t="str">
        <f>IF(B44="","",B43-B44)</f>
        <v/>
      </c>
      <c r="C45" s="94" t="str">
        <f>IF(C44="","",C43-C44)</f>
        <v/>
      </c>
      <c r="D45" s="96" t="str">
        <f>IF(D44="","",D43-D44)</f>
        <v/>
      </c>
      <c r="E45" s="119" t="str">
        <f>IF(E44="","",E43-E44)</f>
        <v/>
      </c>
      <c r="F45" s="175" t="str">
        <f>IF(OR(D45="",E45=""),"",SUM(D45:E45))</f>
        <v/>
      </c>
      <c r="G45" s="2"/>
      <c r="H45" s="37"/>
      <c r="I45" s="2"/>
    </row>
    <row r="46" spans="1:13" ht="28.5" customHeight="1">
      <c r="A46" s="173" t="s">
        <v>9</v>
      </c>
      <c r="B46" s="81">
        <f>IF(B41&lt;&gt;"",1,0)+IF(B20&lt;3,B20*0.25,0.5+(B20-2)*0.5)+IF(B19&lt;3,B19*0.5,1+(B19-2)*1)+IF(OR(B7="non",C12="non"),0,IF(F17&lt;3,F17*0.5,1+(F17-2)*1))+B21</f>
        <v>0</v>
      </c>
      <c r="C46" s="81">
        <f>IF(C41&lt;&gt;"",1,0)+IF(C20&lt;3,C20*0.25,0.5+(C20-2)*0.5)+IF(C19&lt;3,C19*0.5,1+(C19-2)*1)+IF(C12="non",0,IF(F17&lt;3,F17*0.5,1+(F17-2)*1))+C21</f>
        <v>0</v>
      </c>
      <c r="D46" s="499"/>
      <c r="E46" s="500"/>
      <c r="F46" s="176">
        <f>IF(F45&lt;&gt;"",2,0)+IF(F17&lt;&gt;0,IF(F17&lt;3,F17*0.5,1+(F17-2)*1),0)+B21+C21</f>
        <v>0</v>
      </c>
      <c r="G46" s="2"/>
      <c r="H46" s="46"/>
      <c r="I46" s="9"/>
    </row>
    <row r="47" spans="1:13" ht="28.5" customHeight="1">
      <c r="A47" s="177" t="s">
        <v>29</v>
      </c>
      <c r="B47" s="101" t="str">
        <f>IF(B45="","",B45/B46/12)</f>
        <v/>
      </c>
      <c r="C47" s="101" t="str">
        <f>IF(C45="","",C45/C46/12)</f>
        <v/>
      </c>
      <c r="D47" s="501"/>
      <c r="E47" s="502"/>
      <c r="F47" s="178" t="str">
        <f>IF(F45="","",F45/F46/12)</f>
        <v/>
      </c>
      <c r="G47" s="2"/>
      <c r="H47" s="46"/>
      <c r="I47" s="9"/>
    </row>
    <row r="48" spans="1:13" ht="36" customHeight="1" thickBot="1">
      <c r="A48" s="179" t="s">
        <v>24</v>
      </c>
      <c r="B48" s="103" t="str">
        <f>IF(B45&lt;&gt;"",B45/B46,"")</f>
        <v/>
      </c>
      <c r="C48" s="103" t="str">
        <f>IF(C45&lt;&gt;"",C45/C46,"")</f>
        <v/>
      </c>
      <c r="D48" s="503"/>
      <c r="E48" s="504"/>
      <c r="F48" s="180" t="str">
        <f>IF(F45&lt;&gt;"",F45/F46,"")</f>
        <v/>
      </c>
      <c r="G48" s="2"/>
      <c r="H48" s="2"/>
      <c r="I48" s="2"/>
    </row>
    <row r="49" spans="1:16" ht="15" customHeight="1" thickBot="1">
      <c r="A49" s="181"/>
      <c r="B49" s="66"/>
      <c r="C49" s="66"/>
      <c r="D49" s="66"/>
      <c r="E49" s="66"/>
      <c r="F49" s="182"/>
      <c r="G49" s="2"/>
      <c r="H49" s="2"/>
      <c r="I49" s="2"/>
      <c r="J49" s="10"/>
      <c r="L49" s="11"/>
      <c r="M49" s="11"/>
    </row>
    <row r="50" spans="1:16" ht="18.75" hidden="1" customHeight="1" thickBot="1">
      <c r="A50" s="183"/>
      <c r="B50" s="72"/>
      <c r="C50" s="72"/>
      <c r="D50" s="72"/>
      <c r="E50" s="556"/>
      <c r="F50" s="557"/>
      <c r="G50" s="2"/>
      <c r="H50" s="2"/>
      <c r="I50" s="2"/>
      <c r="J50" s="12"/>
      <c r="L50" s="11"/>
      <c r="M50" s="13"/>
      <c r="N50" s="11"/>
      <c r="O50" s="11"/>
      <c r="P50" s="11"/>
    </row>
    <row r="51" spans="1:16" ht="38.25" customHeight="1" thickBot="1">
      <c r="A51" s="184" t="str">
        <f>"TRANCHE DU REVENU "&amp;F1</f>
        <v xml:space="preserve">TRANCHE DU REVENU </v>
      </c>
      <c r="B51" s="53" t="s">
        <v>4</v>
      </c>
      <c r="C51" s="30" t="s">
        <v>10</v>
      </c>
      <c r="D51" s="69" t="str">
        <f t="shared" ref="D51" si="2">"Calcul de l'impôt "&amp;B4&amp;" "&amp;B5</f>
        <v xml:space="preserve">Calcul de l'impôt  </v>
      </c>
      <c r="E51" s="69" t="str">
        <f>"Calcul de l'impôt "&amp;B8&amp;" "&amp;B9</f>
        <v xml:space="preserve">Calcul de l'impôt  </v>
      </c>
      <c r="F51" s="185" t="str">
        <f>IF(AND(C12="non",B15="non"),"","Calcul de l'impôt du foyer")</f>
        <v>Calcul de l'impôt du foyer</v>
      </c>
      <c r="G51" s="2"/>
      <c r="H51" s="2"/>
      <c r="I51" s="37"/>
      <c r="J51" s="12"/>
      <c r="L51" s="11"/>
      <c r="M51" s="13"/>
      <c r="N51" s="14"/>
      <c r="O51" s="13"/>
      <c r="P51" s="11"/>
    </row>
    <row r="52" spans="1:16" ht="15" customHeight="1">
      <c r="A52" s="186">
        <v>0</v>
      </c>
      <c r="B52" s="559">
        <f>Admin!B36</f>
        <v>0</v>
      </c>
      <c r="C52" s="31" t="s">
        <v>12</v>
      </c>
      <c r="D52" s="105" t="str">
        <f>IF(OR(B48=0,B48=""),"",IF(B48&gt;A53,A53-A52,IF(B48-A52&lt;0,"",B48-A52)))</f>
        <v/>
      </c>
      <c r="E52" s="105" t="str">
        <f>IF(OR($C$48=0,$C$48=""),"",IF($C$48&gt;A53,A53-A52,IF($C$48-A52&lt;0,"",$C$48-A52)))</f>
        <v/>
      </c>
      <c r="F52" s="187" t="str">
        <f>IF(OR($F$48=0,$F$48=""),"",IF($F$48&gt;A53,A53-A52,IF($F$48-A52&lt;0,"",$F$48-A52)))</f>
        <v/>
      </c>
      <c r="G52" s="2"/>
      <c r="H52" s="2"/>
      <c r="I52" s="2"/>
      <c r="J52" s="12"/>
      <c r="L52" s="11"/>
      <c r="M52" s="13"/>
      <c r="N52" s="14"/>
      <c r="O52" s="13"/>
      <c r="P52" s="11"/>
    </row>
    <row r="53" spans="1:16" ht="15" customHeight="1" thickBot="1">
      <c r="A53" s="188">
        <f>Admin!A37</f>
        <v>9807</v>
      </c>
      <c r="B53" s="560"/>
      <c r="C53" s="32" t="s">
        <v>11</v>
      </c>
      <c r="D53" s="106" t="str">
        <f>IF(B48="","",IF(OR(D52=0,D52=""),0,D52*B52))</f>
        <v/>
      </c>
      <c r="E53" s="106" t="str">
        <f>IF($C$48="","",IF(OR(E52=0,E52=""),0,E52*$B$52))</f>
        <v/>
      </c>
      <c r="F53" s="189" t="str">
        <f>IF($F$48="","",IF(OR(F52=0,F52=""),0,F52*$B$52))</f>
        <v/>
      </c>
      <c r="G53" s="2"/>
      <c r="H53" s="2"/>
      <c r="I53" s="37"/>
      <c r="J53" s="12"/>
      <c r="L53" s="11"/>
      <c r="M53" s="13"/>
      <c r="N53" s="14"/>
      <c r="O53" s="13"/>
      <c r="P53" s="11"/>
    </row>
    <row r="54" spans="1:16" ht="15" customHeight="1">
      <c r="A54" s="190">
        <f>A53</f>
        <v>9807</v>
      </c>
      <c r="B54" s="545">
        <f>Admin!B38</f>
        <v>0.14000000000000001</v>
      </c>
      <c r="C54" s="35" t="s">
        <v>12</v>
      </c>
      <c r="D54" s="105" t="str">
        <f>IF(OR($B$48=0,$B$48=""),"",IF($B$48&gt;A55,A55-A54,IF($B$48-A54&lt;0,"",$B$48-A54)))</f>
        <v/>
      </c>
      <c r="E54" s="105" t="str">
        <f>IF(OR($C$48=0,$C$48=""),"",IF($C$48&gt;A55,A55-A54,IF($C$48-A54&lt;0,"",$C$48-A54)))</f>
        <v/>
      </c>
      <c r="F54" s="187" t="str">
        <f>IF(OR($F$48=0,$F$48=""),"",IF($F$48&gt;A55,A55-A54,IF($F$48-A54&lt;0,"",$F$48-A54)))</f>
        <v/>
      </c>
      <c r="G54" s="2"/>
      <c r="H54" s="2"/>
      <c r="I54" s="2"/>
      <c r="J54" s="12"/>
      <c r="L54" s="11"/>
      <c r="M54" s="13"/>
      <c r="N54" s="14"/>
      <c r="O54" s="13"/>
      <c r="P54" s="11"/>
    </row>
    <row r="55" spans="1:16" ht="15" customHeight="1" thickBot="1">
      <c r="A55" s="191">
        <f>Admin!A39</f>
        <v>27086</v>
      </c>
      <c r="B55" s="546"/>
      <c r="C55" s="36" t="s">
        <v>11</v>
      </c>
      <c r="D55" s="106" t="str">
        <f>IF($B$48="","",IF(OR(D54=0,D54=""),0,D54*$B$54))</f>
        <v/>
      </c>
      <c r="E55" s="106" t="str">
        <f>IF($C$48="","",IF(OR(E54=0,E54=""),0,E54*$B$54))</f>
        <v/>
      </c>
      <c r="F55" s="189" t="str">
        <f>IF($F$48="","",IF(OR(F54=0,F54=""),0,F54*$B$54))</f>
        <v/>
      </c>
      <c r="G55" s="2"/>
      <c r="H55" s="2"/>
      <c r="I55" s="2"/>
      <c r="J55" s="12"/>
      <c r="L55" s="11"/>
      <c r="M55" s="13"/>
      <c r="N55" s="14"/>
      <c r="O55" s="13"/>
      <c r="P55" s="11"/>
    </row>
    <row r="56" spans="1:16" ht="15" customHeight="1">
      <c r="A56" s="192">
        <f>A55</f>
        <v>27086</v>
      </c>
      <c r="B56" s="547">
        <f>Admin!B40</f>
        <v>0.3</v>
      </c>
      <c r="C56" s="55" t="s">
        <v>12</v>
      </c>
      <c r="D56" s="105" t="str">
        <f>IF(OR($B$48=0,$B$48=""),"",IF($B$48&gt;A57,A57-A56,IF($B$48-A56&lt;0,"",$B$48-A56)))</f>
        <v/>
      </c>
      <c r="E56" s="105" t="str">
        <f>IF(OR($C$48=0,$C$48=""),"",IF($C$48&gt;A57,A57-A56,IF($C$48-A56&lt;0,"",$C$48-A56)))</f>
        <v/>
      </c>
      <c r="F56" s="193" t="str">
        <f>IF(OR($F$48=0,$F$48=""),"",IF($F$48&gt;A57,A57-A56,IF($F$48-A56&lt;0,"",$F$48-A56)))</f>
        <v/>
      </c>
      <c r="G56" s="2"/>
      <c r="H56" s="2"/>
      <c r="I56" s="12"/>
      <c r="J56" s="12"/>
      <c r="L56" s="11"/>
      <c r="M56" s="13"/>
      <c r="N56" s="14"/>
      <c r="O56" s="13"/>
      <c r="P56" s="11"/>
    </row>
    <row r="57" spans="1:16" ht="15" customHeight="1" thickBot="1">
      <c r="A57" s="192">
        <f>Admin!A41</f>
        <v>72617</v>
      </c>
      <c r="B57" s="547"/>
      <c r="C57" s="55" t="s">
        <v>11</v>
      </c>
      <c r="D57" s="106" t="str">
        <f>IF($B$48="","",IF(OR(D56=0,D56=""),0,D56*$B$56))</f>
        <v/>
      </c>
      <c r="E57" s="106" t="str">
        <f>IF($C$48="","",IF(OR(E56=0,E56=""),0,E56*$B$56))</f>
        <v/>
      </c>
      <c r="F57" s="189" t="str">
        <f>IF($F$48="","",IF(OR(F56=0,F56=""),0,F56*$B$56))</f>
        <v/>
      </c>
      <c r="G57" s="2"/>
      <c r="H57" s="2"/>
      <c r="I57" s="2"/>
      <c r="J57" s="12"/>
      <c r="L57" s="11"/>
      <c r="M57" s="13"/>
      <c r="N57" s="14"/>
      <c r="O57" s="13"/>
      <c r="P57" s="11"/>
    </row>
    <row r="58" spans="1:16" ht="15" customHeight="1">
      <c r="A58" s="194">
        <f>A57</f>
        <v>72617</v>
      </c>
      <c r="B58" s="550">
        <f>Admin!B42</f>
        <v>0.41</v>
      </c>
      <c r="C58" s="33" t="s">
        <v>12</v>
      </c>
      <c r="D58" s="105" t="str">
        <f>IF(OR($B$48=0,$B$48=""),"",IF($B$48&gt;A59,A59-A58,IF($B$48-A58&lt;0,"",$B$48-A58)))</f>
        <v/>
      </c>
      <c r="E58" s="105" t="str">
        <f>IF(OR($C$48=0,$C$48=""),"",IF($C$48&gt;A59,A59-A58,IF($C$48-A58&lt;0,"",$C$48-A58)))</f>
        <v/>
      </c>
      <c r="F58" s="187" t="str">
        <f>IF(OR($F$48=0,$F$48=""),"",IF($F$48&gt;A59,A59-A58,IF($F$48-A58&lt;0,"",$F$48-A58)))</f>
        <v/>
      </c>
      <c r="G58" s="2"/>
      <c r="H58" s="2"/>
      <c r="I58" s="2"/>
      <c r="J58" s="12"/>
      <c r="L58" s="11"/>
      <c r="M58" s="13"/>
      <c r="N58" s="14"/>
      <c r="O58" s="13"/>
      <c r="P58" s="11"/>
    </row>
    <row r="59" spans="1:16" ht="15" customHeight="1" thickBot="1">
      <c r="A59" s="195">
        <f>Admin!A43</f>
        <v>153783</v>
      </c>
      <c r="B59" s="551"/>
      <c r="C59" s="34" t="s">
        <v>11</v>
      </c>
      <c r="D59" s="106" t="str">
        <f>IF($B$48="","",IF(OR(D58=0,D58=""),0,D58*$B$58))</f>
        <v/>
      </c>
      <c r="E59" s="106" t="str">
        <f>IF($C$48="","",IF(OR(E58=0,E58=""),0,E58*$B$58))</f>
        <v/>
      </c>
      <c r="F59" s="189" t="str">
        <f>IF($F$48="","",IF(OR(F58=0,F58=""),0,F58*$B$58))</f>
        <v/>
      </c>
      <c r="G59" s="2"/>
      <c r="H59" s="2"/>
      <c r="I59" s="2"/>
      <c r="J59" s="12"/>
      <c r="L59" s="11"/>
      <c r="M59" s="13"/>
      <c r="N59" s="14"/>
      <c r="O59" s="13"/>
      <c r="P59" s="11"/>
    </row>
    <row r="60" spans="1:16" ht="15" customHeight="1">
      <c r="A60" s="196">
        <f>A59</f>
        <v>153783</v>
      </c>
      <c r="B60" s="548">
        <f>Admin!B44</f>
        <v>0.45</v>
      </c>
      <c r="C60" s="56" t="s">
        <v>12</v>
      </c>
      <c r="D60" s="105" t="str">
        <f>IF(OR($B$48=0,$B$48=""),"",IF($B$48&gt;A60,B48-A60,""))</f>
        <v/>
      </c>
      <c r="E60" s="105" t="str">
        <f>IF(OR($C$48=0,$C$48=""),"",IF($C$48&gt;A60,C48-A60,""))</f>
        <v/>
      </c>
      <c r="F60" s="193" t="str">
        <f>IF(OR($F$48=0,$F$48=""),"",IF($F$48&gt;A60,F48-A60,""))</f>
        <v/>
      </c>
      <c r="G60" s="2"/>
      <c r="H60" s="2"/>
      <c r="I60" s="2"/>
      <c r="J60" s="12"/>
      <c r="L60" s="11"/>
      <c r="M60" s="11"/>
      <c r="N60" s="14"/>
      <c r="O60" s="13"/>
      <c r="P60" s="11"/>
    </row>
    <row r="61" spans="1:16" ht="15" customHeight="1" thickBot="1">
      <c r="A61" s="197" t="s">
        <v>7</v>
      </c>
      <c r="B61" s="549"/>
      <c r="C61" s="57" t="s">
        <v>11</v>
      </c>
      <c r="D61" s="106" t="str">
        <f>IF($B$48="","",IF(OR(D60=0,D60=""),0,D60*$B$60))</f>
        <v/>
      </c>
      <c r="E61" s="106" t="str">
        <f>IF($C$48="","",IF(OR(E60=0,E60=""),0,E60*$B$60))</f>
        <v/>
      </c>
      <c r="F61" s="189" t="str">
        <f>IF($F$48="","",IF(OR(F60=0,F60=""),0,F60*$B$60))</f>
        <v/>
      </c>
      <c r="G61" s="2"/>
      <c r="H61" s="2"/>
      <c r="I61" s="2"/>
      <c r="J61" s="12"/>
      <c r="L61" s="11"/>
      <c r="M61" s="17"/>
      <c r="N61" s="15"/>
      <c r="O61" s="16"/>
      <c r="P61" s="11"/>
    </row>
    <row r="62" spans="1:16" ht="16.5" thickBot="1">
      <c r="A62" s="477" t="s">
        <v>13</v>
      </c>
      <c r="B62" s="478"/>
      <c r="C62" s="479"/>
      <c r="D62" s="107" t="str">
        <f>IF(B48="","",D53+D55+D57+D59+D61)</f>
        <v/>
      </c>
      <c r="E62" s="107" t="str">
        <f>IF(C48="","",E53+E55+E57+E59+E61)</f>
        <v/>
      </c>
      <c r="F62" s="198" t="str">
        <f>IF(F48="","",F53+F55+F57+F59+F61)</f>
        <v/>
      </c>
      <c r="G62" s="2"/>
      <c r="H62" s="282" t="str">
        <f>IF(AND(C12="oui",F62&lt;&gt;""),IF(F64&gt;F62*F63,"Application du plafond maxi de décution par 1/2 part",""),IF(AND(C12&lt;&gt;"oui",D62&lt;&gt;""),IF(D64&gt;D62*D63,"Application du plafond maxi de décution par 1/2 part",""),""))</f>
        <v/>
      </c>
      <c r="I62" s="2"/>
      <c r="J62" s="12"/>
      <c r="L62" s="11"/>
      <c r="M62" s="17"/>
      <c r="N62" s="15"/>
      <c r="O62" s="16"/>
      <c r="P62" s="11"/>
    </row>
    <row r="63" spans="1:16" ht="16.5" thickBot="1">
      <c r="A63" s="199" t="str">
        <f>IF(OR(OR(B19&gt;0,C19&gt;0,B20&gt;0,C20&gt;0),F17&gt;0),"Plafond 1/2 Part :","")</f>
        <v/>
      </c>
      <c r="B63" s="59">
        <f>IF(A63&lt;&gt;"",Admin!B68,0)</f>
        <v>0</v>
      </c>
      <c r="C63" s="58" t="s">
        <v>28</v>
      </c>
      <c r="D63" s="18" t="str">
        <f>IF(OR(B46=0,B46=""),"",B46)</f>
        <v/>
      </c>
      <c r="E63" s="18" t="str">
        <f>IF(OR(C46=0,C46=""),"",C46)</f>
        <v/>
      </c>
      <c r="F63" s="200" t="str">
        <f>IF(OR(F46=0,F46=""),"",F46)</f>
        <v/>
      </c>
      <c r="G63" s="2"/>
      <c r="H63" s="463" t="str">
        <f>IF(AND(H62&lt;&gt;"",D63&lt;&gt;1,D62&lt;&gt;""),B5&amp;" "&amp;B4&amp;" == 'Surcoût' appliqué de : "&amp;ROUND(D64-D62*D63,0)&amp;" EUR","")&amp;IF(AND(H62&lt;&gt;"",F63&lt;&gt;2,F62&lt;&gt;""),"FF == 'Surcoût' appliqué de : "&amp;ROUND(F64-F63*F62,0)&amp;" EUR","")</f>
        <v/>
      </c>
      <c r="I63" s="2"/>
      <c r="L63" s="11"/>
      <c r="M63" s="11"/>
      <c r="N63" s="15"/>
      <c r="O63" s="16"/>
      <c r="P63" s="11"/>
    </row>
    <row r="64" spans="1:16" ht="16.5" thickBot="1">
      <c r="A64" s="477" t="s">
        <v>26</v>
      </c>
      <c r="B64" s="478"/>
      <c r="C64" s="479"/>
      <c r="D64" s="108" t="str">
        <f>IF(D62="","",IF(Admin!D85-$B$63*(D63-B21-1)*2&gt;D62*D63,Admin!D85-$B$63*(D63-B21-1)*2,D62*D63))</f>
        <v/>
      </c>
      <c r="E64" s="108" t="str">
        <f>IF(E62="","",IF(Admin!E85-$B$63*(E63-C21-1)*2&gt;E62*E63,Admin!E85-$B$63*(E63-C21-1)*2,E62*E63))</f>
        <v/>
      </c>
      <c r="F64" s="201" t="str">
        <f>IF(F62="","",IF(Admin!F85-$B$63*(F63-B21-C21-2)*2&gt;F62*F63,Admin!F85-$B$63*(F63-B21-C21-2)*2,F62*F63))</f>
        <v/>
      </c>
      <c r="G64" s="2"/>
      <c r="H64" s="463" t="str">
        <f>IF(AND(H62&lt;&gt;"",E63&lt;&gt;1,E62&lt;&gt;""),B9&amp;" "&amp;B8&amp;" == 'Surcoût' appliqué de : "&amp;ROUND(E64-E63*E62,0)&amp;" EUR","")</f>
        <v/>
      </c>
      <c r="I64" s="2"/>
      <c r="L64" s="11"/>
      <c r="M64" s="11"/>
      <c r="N64" s="19"/>
      <c r="O64" s="20"/>
      <c r="P64" s="11"/>
    </row>
    <row r="65" spans="1:16" ht="16.5" thickBot="1">
      <c r="A65" s="202" t="s">
        <v>18</v>
      </c>
      <c r="B65" s="51" t="str">
        <f>IF(OR(B7="non",AND(B7="oui",C12="non",OR(F12="non",AND(F12="oui",B15="non")))),Admin!B60,IF(OR(C12="oui",AND(C12="non",F12="oui",B15="oui")),Admin!B61,""))</f>
        <v/>
      </c>
      <c r="C65" s="52" t="str">
        <f>IF(A65="Plafond Décote: Non Eligible","","soit à déduire:")</f>
        <v>soit à déduire:</v>
      </c>
      <c r="D65" s="109" t="str">
        <f>IF(D64="","",IF(D64=0,0,IF(D64&gt;$B$65,"Non Eligible",IF(Admin!B62*($B$65-D64)&gt;D64,D64,Admin!B62*($B$65-D64)))))</f>
        <v/>
      </c>
      <c r="E65" s="109" t="str">
        <f>IF(E64="","",IF(E64=0,0,IF(E64&gt;$B$65,"Non Eligible",IF(Admin!B62*($B$65-E64)&gt;E64,E64,Admin!B62*($B$65-E64)))))</f>
        <v/>
      </c>
      <c r="F65" s="203" t="str">
        <f>IF(F64="","",IF(F64=0,0,IF(F64&gt;$B$65,"Non Eligible",IF(Admin!B62*($B$65-F64)&gt;F64,F64,Admin!B62*($B$65-F64)))))</f>
        <v/>
      </c>
      <c r="G65" s="2"/>
      <c r="I65" s="2"/>
      <c r="L65" s="11"/>
      <c r="M65" s="22"/>
      <c r="N65" s="15"/>
      <c r="O65" s="21"/>
      <c r="P65" s="11"/>
    </row>
    <row r="66" spans="1:16" ht="16.5" customHeight="1" thickBot="1">
      <c r="A66" s="477" t="str">
        <f>+Admin!A50</f>
        <v>IMPOT APRES DECOTE ET AVANT REDUCTION 20 %</v>
      </c>
      <c r="B66" s="478"/>
      <c r="C66" s="479"/>
      <c r="D66" s="461" t="str">
        <f>IF(D64="","",IF(D65="Non Eligible",D64,D64-D65))</f>
        <v/>
      </c>
      <c r="E66" s="461" t="str">
        <f>IF(E64="","",IF(E65="Non Eligible",E64,E64-E65))</f>
        <v/>
      </c>
      <c r="F66" s="462" t="str">
        <f>IF(F64="","",IF(F65="Non Eligible",F64,F64-F65))</f>
        <v/>
      </c>
      <c r="G66" s="2"/>
      <c r="I66" s="2"/>
      <c r="L66" s="11"/>
      <c r="M66" s="457"/>
      <c r="N66" s="15"/>
      <c r="O66" s="21"/>
      <c r="P66" s="11"/>
    </row>
    <row r="67" spans="1:16" ht="16.5" thickBot="1">
      <c r="A67" s="202" t="str">
        <f>+Admin!A51</f>
        <v>Plafond RFR:</v>
      </c>
      <c r="B67" s="51">
        <f>IF(OR(C12="oui",AND(C12="non",F12="oui",B15="oui")),Admin!B64+Admin!F63*(F46-2-B21-C21),Admin!B63+Admin!F633*(D46+E46-2-B21-C21))</f>
        <v>20705</v>
      </c>
      <c r="C67" s="52" t="str">
        <f>+C65</f>
        <v>soit à déduire:</v>
      </c>
      <c r="D67" s="109" t="str">
        <f>IF(B45&lt;B67,D66*Admin!F64,"Non Eligible")</f>
        <v>Non Eligible</v>
      </c>
      <c r="E67" s="109" t="str">
        <f>IF(C45&lt;B67,E66*Admin!F64,"Non Eligible")</f>
        <v>Non Eligible</v>
      </c>
      <c r="F67" s="203" t="str">
        <f>IF(F45&lt;B67,F66*Admin!F64,"Non Eligible")</f>
        <v>Non Eligible</v>
      </c>
      <c r="G67" s="2"/>
      <c r="H67" s="463"/>
      <c r="I67" s="2"/>
      <c r="L67" s="11"/>
      <c r="M67" s="457"/>
      <c r="N67" s="15"/>
      <c r="O67" s="21"/>
      <c r="P67" s="11"/>
    </row>
    <row r="68" spans="1:16" ht="16.5" thickBot="1">
      <c r="A68" s="477" t="s">
        <v>27</v>
      </c>
      <c r="B68" s="478"/>
      <c r="C68" s="479"/>
      <c r="D68" s="110" t="str">
        <f>IF(D66="","",IF(D67="Non Eligible",D66,D66-D67))</f>
        <v/>
      </c>
      <c r="E68" s="110" t="str">
        <f>IF(E66="","",IF(E67="Non Eligible",E66,E66-E67))</f>
        <v/>
      </c>
      <c r="F68" s="204" t="str">
        <f>IF(F66="","",IF(F67="Non Eligible",F66,F66-F67))</f>
        <v/>
      </c>
      <c r="G68" s="2"/>
      <c r="H68" s="9"/>
      <c r="I68" s="2"/>
      <c r="M68" s="11"/>
      <c r="N68" s="23"/>
      <c r="O68" s="24"/>
      <c r="P68" s="11"/>
    </row>
    <row r="69" spans="1:16" ht="16.5" thickBot="1">
      <c r="A69" s="489" t="str">
        <f>IF(OR(D68&lt;&gt;"",E68&lt;&gt;"",F68&lt;&gt;""),"Saisir le montant : Déductions / Crédit Impots","Déductions / Crédit Impots")</f>
        <v>Déductions / Crédit Impots</v>
      </c>
      <c r="B69" s="490"/>
      <c r="C69" s="491"/>
      <c r="D69" s="111"/>
      <c r="E69" s="111"/>
      <c r="F69" s="205">
        <v>0</v>
      </c>
      <c r="G69" s="2"/>
      <c r="H69" s="37"/>
      <c r="I69" s="37"/>
      <c r="M69" s="11"/>
      <c r="N69" s="23"/>
      <c r="O69" s="24"/>
      <c r="P69" s="11"/>
    </row>
    <row r="70" spans="1:16" ht="16.5" thickBot="1">
      <c r="A70" s="285" t="s">
        <v>76</v>
      </c>
      <c r="B70" s="60">
        <f>Admin!B54</f>
        <v>61</v>
      </c>
      <c r="C70" s="216" t="s">
        <v>25</v>
      </c>
      <c r="D70" s="110" t="str">
        <f>IF(D68="","",IF(D68-D69&lt;=$B$70,0,D68-D69))</f>
        <v/>
      </c>
      <c r="E70" s="110" t="str">
        <f>IF(E68="","",IF(E68-E69&lt;=$B$70,0,E68-E69))</f>
        <v/>
      </c>
      <c r="F70" s="204" t="str">
        <f>IF(F68="","",IF(F68-F69&lt;=$B$70,0,F68-F69))</f>
        <v/>
      </c>
      <c r="G70" s="2"/>
      <c r="H70" s="2"/>
      <c r="I70" s="37"/>
      <c r="M70" s="11"/>
      <c r="N70" s="23"/>
      <c r="O70" s="24"/>
      <c r="P70" s="11"/>
    </row>
    <row r="71" spans="1:16" ht="16.5" thickBot="1">
      <c r="A71" s="477" t="s">
        <v>30</v>
      </c>
      <c r="B71" s="478"/>
      <c r="C71" s="479"/>
      <c r="D71" s="61" t="str">
        <f>IF(D70="","",D70/B45)</f>
        <v/>
      </c>
      <c r="E71" s="61" t="str">
        <f>IF(E70="","",E70/C45)</f>
        <v/>
      </c>
      <c r="F71" s="206" t="str">
        <f>IF(F70="","",F70/F45)</f>
        <v/>
      </c>
      <c r="G71" s="2"/>
      <c r="H71" s="464" t="str">
        <f>IF(F71&lt;&gt;"","Soit un Taux d'Imposition Individuel de "&amp;ROUND(D45/F45*F71*100*2,2)&amp;"% et "&amp;ROUND(E45/F45*F71*100*2,2)&amp;"%","")</f>
        <v/>
      </c>
      <c r="I71" s="2"/>
      <c r="M71" s="11"/>
      <c r="N71" s="23"/>
      <c r="O71" s="24"/>
      <c r="P71" s="11"/>
    </row>
    <row r="72" spans="1:16" ht="25.5" customHeight="1">
      <c r="A72" s="486" t="str">
        <f>IF(AND(D70&lt;&gt;"",E70&lt;&gt;""),"Résultat de vos Déclarations Individuelles",IF(OR(D70&lt;&gt;"",E70&lt;&gt;""),"Résultat de votre Déclaration Individuelle",IF(F70&lt;&gt;"","Résultat de votre Déclaration Commune","")))</f>
        <v/>
      </c>
      <c r="B72" s="487"/>
      <c r="C72" s="487"/>
      <c r="D72" s="487"/>
      <c r="E72" s="487"/>
      <c r="F72" s="488"/>
      <c r="G72" s="2"/>
      <c r="H72" s="2"/>
      <c r="I72" s="2"/>
      <c r="M72" s="11"/>
      <c r="N72" s="25"/>
      <c r="O72" s="21"/>
      <c r="P72" s="11"/>
    </row>
    <row r="73" spans="1:16" ht="66.75" customHeight="1">
      <c r="A73" s="480" t="str">
        <f>IF(A72="Résultat de votre Déclaration Commune",IF(C12="","",IF(F70="","",B4&amp;" "&amp;B5&amp;" &amp; "&amp;B8&amp;" "&amp;B9&amp;" (Foyer Fiscal),"&amp;IF(F70=0,"                                                                                         Vous n'avez pas d'impôts à payer en "&amp;F2&amp;" sur vos revenus de "&amp;F1&amp;" !","                                                                                    Vous devrez payer "&amp;ROUND(F70,0)&amp;" € d'impôts en "&amp;F2&amp;" sur vos revenus de "&amp;F1&amp;"!"&amp;"                                                Soit : "&amp;ROUND(F70/8,0)&amp;" € / 8 mois ou "&amp;ROUND(F70/10,0)&amp;" € / 10 mois.")))&amp;IF(F65="non eligible","                                                                                                                                                                                                      Vous n'êtes pas éligible à la décôte.","                                                                                                                                                                                                      Vous bénéficiez de la décôte à hauteur de: "&amp;ROUND(F65,0)&amp;" €."),IF(OR(B48=0,B48=""),"",IF(C12="oui","",B4&amp;" "&amp;B5&amp;","&amp;IF(D70=0," Vous n'avez pas d'impôts à payer en "&amp;F2&amp;" sur vos revenus de "&amp;F1&amp;" !"," Vous devrez payer "&amp;ROUND(D70,0)&amp;" € d'impôts en "&amp;F2&amp;" sur vos revenus de "&amp;F1&amp;"!"&amp;"                        Soit : "&amp;ROUND(D70/8,0)&amp;" € / 8 mois ou "&amp;ROUND(D70/10,0)&amp;" € / 10 mois.")))&amp;IF(D65="","",IF(D65="non eligible","                                                                                                                                                                                                      Vous n'êtes pas éligible à la décôte.","                                                                                                                                                                                                      Vous bénéficiez de la décôte à hauteur de: "&amp;ROUND(D65,0)&amp;" €.")))</f>
        <v/>
      </c>
      <c r="B73" s="481"/>
      <c r="C73" s="481"/>
      <c r="D73" s="481"/>
      <c r="E73" s="481"/>
      <c r="F73" s="482"/>
      <c r="G73" s="2"/>
      <c r="H73" s="2"/>
      <c r="I73" s="2"/>
      <c r="N73" s="11"/>
      <c r="O73" s="11"/>
      <c r="P73" s="11"/>
    </row>
    <row r="74" spans="1:16" ht="207.75" customHeight="1">
      <c r="A74" s="483" t="str">
        <f>IF(OR(A72="",A72="Résultat de votre Déclaration Individuelle"),"",IF(AND(C12="non",A72="Résultat de votre Déclaration Commune"),IF(B15="oui","Suite à votre "&amp;D15&amp;" (en "&amp;F1&amp;") vous pouvez opter pour la déclaration de vos revenus individuellement, mais uniquement pour votre déclaration "&amp;F2&amp;" (les déclarations suivantes devront être communes) ; dans ce cas, le résultat des simulations serait pour:                                     ******************************************************************************* "&amp;Admin!A57&amp;"                                                                                                       *******************************************************************************  "&amp;Admin!A58&amp;IF(F70&lt;=0,"",IF(AND(Admin!D49="Non Eligible",Admin!E49="Non Eligible"),"                                        *******************************************************************************          Il n'y a pas de différence (gain à réaliser).",IF(F65="Non Eligible",IF(OR(Admin!D49&gt;0,Admin!E49&gt;0)," *******************************************************************************          Dans ce cas vous pouvez réaliser un gain de: "&amp;ROUND(IF(Admin!D49="Non Eligible",0,Admin!D49)+IF(Admin!E49="Non Eligible",0,Admin!E49),0)&amp;" euros.",""),IF(OR(Admin!D49&gt;0,Admin!E49&gt;0),"  *******************************************************************************          Dans ce cas vous pouvez réaliser un gain supplémentaire de: "&amp;ROUND(IF(Admin!D49="Non Eligible",0,Admin!D49)+IF(Admin!E49="Non Eligible",0,Admin!E49)-F65,0)&amp;" euros.",""))))),IF(C12="oui","Un foyer fiscal existant déjà, vous ne pouvez plus opter pour les déclarations individuelles ; cependant le résultat des simulations serait pour:  ******************************************************************************* "&amp;Admin!A57&amp;" *******************************************************************************  "&amp;Admin!A58&amp;IF(F70&lt;=0,"",IF(AND(Admin!D49="Non Eligible",Admin!E49="Non Eligible"),"                                        ******************************************************************************* Il n'y a pas de différence (gain à réaliser).",IF(F65="Non Eligible",IF(OR(Admin!D49&gt;0,Admin!E49&gt;0)," *******************************************************************************          Dans ce cas vous auriez pu réaliser un gain supplémentaire de: "&amp;ROUND(IF(Admin!D49="Non Eligible",0,Admin!D49)+IF(Admin!E49="Non Eligible",0,Admin!E49),0)&amp;" euros.",""),IF(OR(Admin!D49&gt;0,Admin!E49&gt;0),"  *******************************************************************************          Dans ce cas vous auriez pu réaliser un gain supplémentaire de: "&amp;ROUND(IF(Admin!D49="Non Eligible",0,Admin!D49)+IF(Admin!E49="Non Eligible",0,Admin!E49)-F65,0)&amp;" euros.","")))),"")))&amp;IF(OR(C48="",C48=0),"",IF(C12="oui","",B8&amp;" "&amp;B9&amp;","&amp;IF(E70=0," Vous n'avez pas d'impôts à payer en "&amp;F2&amp;" sur vos revenus de "&amp;F1&amp;" !"," Vous devrez payer "&amp;ROUND(E70,0)&amp;" € d'impôts en "&amp;F2&amp;" sur vos revenus de "&amp;F1&amp;"!"&amp;"                        Soit : "&amp;ROUND(E70/8,0)&amp;" € / 8 mois ou "&amp;ROUND(E70/10,0)&amp;" € / 10 mois."&amp;IF(E65="Non Eligible","                                                                                                                                                                                                      Vous n'êtes pas éligible à la décôte.","                                                                                                                                                                                                      Vous bénéficiez de la décôte à hauteur de: "&amp;ROUND(E65,0)&amp;" €."))))</f>
        <v/>
      </c>
      <c r="B74" s="484"/>
      <c r="C74" s="484"/>
      <c r="D74" s="484"/>
      <c r="E74" s="484"/>
      <c r="F74" s="485"/>
      <c r="G74" s="2"/>
      <c r="H74" s="256" t="str">
        <f>IF(AND(B7="oui",C12="non",F12="oui",B15="oui",D15="PACS"),"-- Plus d'infos ICI --","")</f>
        <v/>
      </c>
      <c r="I74" s="2"/>
    </row>
    <row r="75" spans="1:16" ht="15">
      <c r="A75" s="541" t="s">
        <v>200</v>
      </c>
      <c r="B75" s="541"/>
      <c r="C75" s="541"/>
      <c r="D75" s="541"/>
      <c r="E75" s="541"/>
      <c r="F75" s="541"/>
      <c r="G75" s="2"/>
      <c r="H75" s="538" t="str">
        <f>"©‎ EVAINSE - version du "&amp;DAY(B78)&amp;" / "&amp;MONTH(B78)&amp;" / "&amp;YEAR(B78)</f>
        <v>©‎ EVAINSE - version du 12 / 2 / 2018</v>
      </c>
      <c r="I75" s="2"/>
      <c r="J75" s="26"/>
      <c r="L75" s="12"/>
    </row>
    <row r="76" spans="1:16" ht="15">
      <c r="A76" s="542"/>
      <c r="B76" s="542"/>
      <c r="C76" s="542"/>
      <c r="D76" s="542"/>
      <c r="E76" s="542"/>
      <c r="F76" s="542"/>
      <c r="G76" s="2"/>
      <c r="H76" s="538"/>
      <c r="I76" s="2"/>
    </row>
    <row r="77" spans="1:16" ht="27.75" customHeight="1">
      <c r="A77" s="307" t="s">
        <v>32</v>
      </c>
      <c r="B77" s="539" t="s">
        <v>198</v>
      </c>
      <c r="C77" s="540"/>
      <c r="D77" s="540"/>
      <c r="E77" s="540"/>
      <c r="F77" s="540"/>
      <c r="G77" s="2"/>
      <c r="H77" s="538"/>
      <c r="I77" s="2"/>
      <c r="J77" s="10"/>
    </row>
    <row r="78" spans="1:16" ht="27.75" hidden="1" customHeight="1">
      <c r="A78" s="306" t="s">
        <v>191</v>
      </c>
      <c r="B78" s="305">
        <f>Admin!I4</f>
        <v>43143</v>
      </c>
      <c r="D78" s="2"/>
      <c r="E78" s="2"/>
      <c r="F78" s="2"/>
      <c r="G78" s="2"/>
      <c r="H78" s="2"/>
      <c r="I78" s="2"/>
      <c r="J78" s="26"/>
      <c r="L78" s="12"/>
    </row>
    <row r="79" spans="1:16" ht="27.75" hidden="1" customHeight="1">
      <c r="A79" s="2" t="s">
        <v>86</v>
      </c>
      <c r="B79" s="298" t="s">
        <v>299</v>
      </c>
      <c r="C79" s="2"/>
      <c r="D79" s="2"/>
      <c r="E79" s="2"/>
      <c r="F79" s="2"/>
      <c r="G79" s="2"/>
      <c r="H79" s="2"/>
      <c r="I79" s="2"/>
    </row>
    <row r="80" spans="1:16" ht="27.75" hidden="1" customHeight="1">
      <c r="A80" s="2"/>
      <c r="B80" s="2"/>
      <c r="C80" s="2"/>
      <c r="D80" s="2"/>
      <c r="E80" s="2"/>
      <c r="F80" s="2"/>
      <c r="G80" s="2"/>
      <c r="H80" s="2"/>
      <c r="I80" s="2"/>
      <c r="J80" s="10"/>
    </row>
    <row r="81" spans="1:12" ht="27.75" hidden="1" customHeight="1">
      <c r="A81" s="2"/>
      <c r="B81" s="2"/>
      <c r="C81" s="2"/>
      <c r="D81" s="2"/>
      <c r="E81" s="2"/>
      <c r="F81" s="2"/>
      <c r="G81" s="2"/>
      <c r="H81" s="2"/>
      <c r="I81" s="2"/>
      <c r="J81" s="26"/>
      <c r="L81" s="12"/>
    </row>
    <row r="82" spans="1:12" ht="27.75" hidden="1" customHeight="1">
      <c r="A82" s="2"/>
      <c r="B82" s="2"/>
      <c r="C82" s="2"/>
      <c r="D82" s="2"/>
      <c r="E82" s="2"/>
      <c r="F82" s="2"/>
      <c r="G82" s="2"/>
      <c r="H82" s="2"/>
      <c r="I82" s="2"/>
    </row>
    <row r="83" spans="1:12" ht="27.75" hidden="1" customHeight="1">
      <c r="A83" s="2"/>
      <c r="B83" s="2"/>
      <c r="C83" s="2"/>
      <c r="D83" s="2"/>
      <c r="E83" s="2"/>
      <c r="F83" s="2"/>
      <c r="G83" s="2"/>
      <c r="H83" s="2"/>
      <c r="I83" s="2"/>
      <c r="J83" s="10"/>
    </row>
    <row r="84" spans="1:12" ht="27.75" hidden="1" customHeight="1">
      <c r="A84" s="2"/>
      <c r="B84" s="2"/>
      <c r="C84" s="2"/>
      <c r="D84" s="2"/>
      <c r="E84" s="2"/>
      <c r="F84" s="2"/>
      <c r="G84" s="2"/>
      <c r="H84" s="2"/>
      <c r="I84" s="2"/>
      <c r="J84" s="26"/>
      <c r="L84" s="12"/>
    </row>
    <row r="85" spans="1:12" ht="27.75" hidden="1" customHeight="1">
      <c r="A85" s="2"/>
      <c r="B85" s="2"/>
      <c r="C85" s="2"/>
      <c r="D85" s="2"/>
      <c r="E85" s="2"/>
      <c r="F85" s="2"/>
      <c r="G85" s="2"/>
      <c r="H85" s="2"/>
      <c r="I85" s="2"/>
    </row>
    <row r="86" spans="1:12" ht="27.75" hidden="1" customHeight="1">
      <c r="A86" s="2"/>
      <c r="B86" s="2"/>
      <c r="C86" s="2"/>
      <c r="D86" s="2"/>
      <c r="E86" s="2"/>
      <c r="F86" s="2"/>
      <c r="G86" s="2"/>
      <c r="H86" s="2"/>
      <c r="I86" s="2"/>
      <c r="J86" s="10"/>
    </row>
    <row r="87" spans="1:12" ht="27.75" hidden="1" customHeight="1">
      <c r="A87" s="2"/>
      <c r="B87" s="2"/>
      <c r="C87" s="2"/>
      <c r="D87" s="2"/>
      <c r="E87" s="2"/>
      <c r="F87" s="2"/>
      <c r="G87" s="2"/>
      <c r="H87" s="2"/>
      <c r="I87" s="2"/>
      <c r="J87" s="26"/>
      <c r="L87" s="12"/>
    </row>
    <row r="88" spans="1:12" ht="27.75" hidden="1" customHeight="1">
      <c r="A88" s="2"/>
      <c r="B88" s="2"/>
      <c r="C88" s="2"/>
      <c r="D88" s="2"/>
      <c r="E88" s="2"/>
      <c r="F88" s="2"/>
      <c r="G88" s="2"/>
      <c r="H88" s="2"/>
      <c r="I88" s="2"/>
    </row>
    <row r="89" spans="1:12" ht="27.75" hidden="1" customHeight="1">
      <c r="A89" s="2"/>
      <c r="B89" s="2"/>
      <c r="C89" s="2"/>
      <c r="D89" s="2"/>
      <c r="E89" s="2"/>
      <c r="F89" s="2"/>
      <c r="G89" s="2"/>
      <c r="H89" s="2"/>
      <c r="I89" s="2"/>
      <c r="J89" s="10"/>
    </row>
    <row r="90" spans="1:12" ht="27.75" hidden="1" customHeight="1">
      <c r="A90" s="2"/>
      <c r="B90" s="2"/>
      <c r="C90" s="2"/>
      <c r="D90" s="2"/>
      <c r="E90" s="2"/>
      <c r="F90" s="2"/>
      <c r="G90" s="2"/>
      <c r="H90" s="2"/>
      <c r="I90" s="2"/>
      <c r="J90" s="26"/>
      <c r="L90" s="12"/>
    </row>
    <row r="91" spans="1:12" ht="27.75" hidden="1" customHeight="1">
      <c r="A91" s="2"/>
      <c r="B91" s="2"/>
      <c r="C91" s="2"/>
      <c r="D91" s="2"/>
      <c r="E91" s="2"/>
      <c r="F91" s="2"/>
      <c r="G91" s="2"/>
      <c r="H91" s="2"/>
      <c r="I91" s="2"/>
    </row>
    <row r="92" spans="1:12" ht="27.75" hidden="1" customHeight="1">
      <c r="A92" s="2"/>
      <c r="B92" s="2"/>
      <c r="C92" s="2"/>
      <c r="D92" s="2"/>
      <c r="E92" s="2"/>
      <c r="F92" s="2"/>
      <c r="G92" s="2"/>
      <c r="H92" s="2"/>
      <c r="I92" s="2"/>
    </row>
    <row r="93" spans="1:12" ht="27.75" hidden="1" customHeight="1">
      <c r="A93" s="2"/>
      <c r="B93" s="2"/>
      <c r="C93" s="2"/>
      <c r="D93" s="2"/>
      <c r="E93" s="2"/>
      <c r="F93" s="2"/>
      <c r="G93" s="2"/>
      <c r="H93" s="2"/>
      <c r="I93" s="2"/>
    </row>
    <row r="94" spans="1:12" ht="27.75" hidden="1" customHeight="1">
      <c r="A94" s="2"/>
      <c r="B94" s="2"/>
      <c r="C94" s="2"/>
      <c r="D94" s="2"/>
      <c r="E94" s="2"/>
      <c r="F94" s="2"/>
      <c r="G94" s="2"/>
      <c r="H94" s="2"/>
      <c r="I94" s="2"/>
    </row>
    <row r="95" spans="1:12" ht="27.75" hidden="1" customHeight="1">
      <c r="A95" s="2"/>
      <c r="B95" s="2"/>
      <c r="C95" s="2"/>
      <c r="D95" s="2"/>
      <c r="E95" s="2"/>
      <c r="F95" s="2"/>
      <c r="G95" s="2"/>
      <c r="H95" s="2"/>
      <c r="I95" s="2"/>
    </row>
    <row r="96" spans="1:12" ht="27.75" hidden="1" customHeight="1">
      <c r="A96" s="2"/>
      <c r="B96" s="2"/>
      <c r="C96" s="2"/>
      <c r="D96" s="2"/>
      <c r="E96" s="2"/>
      <c r="F96" s="2"/>
      <c r="G96" s="2"/>
      <c r="H96" s="2"/>
      <c r="I96" s="2"/>
    </row>
    <row r="97" spans="1:9" ht="27.75" hidden="1" customHeight="1">
      <c r="A97" s="2"/>
      <c r="B97" s="2"/>
      <c r="C97" s="2"/>
      <c r="D97" s="2"/>
      <c r="E97" s="2"/>
      <c r="F97" s="2"/>
      <c r="G97" s="2"/>
      <c r="H97" s="2"/>
      <c r="I97" s="2"/>
    </row>
    <row r="98" spans="1:9" ht="27.75" hidden="1" customHeight="1">
      <c r="A98" s="2"/>
      <c r="B98" s="2"/>
      <c r="C98" s="2"/>
      <c r="D98" s="2"/>
      <c r="E98" s="2"/>
      <c r="F98" s="2"/>
      <c r="G98" s="2"/>
      <c r="H98" s="2"/>
      <c r="I98" s="2"/>
    </row>
    <row r="99" spans="1:9" ht="27.75" hidden="1" customHeight="1">
      <c r="A99" s="2"/>
      <c r="B99" s="2"/>
      <c r="C99" s="2"/>
      <c r="D99" s="2"/>
      <c r="E99" s="2"/>
      <c r="F99" s="2"/>
      <c r="G99" s="2"/>
      <c r="H99" s="2"/>
      <c r="I99" s="2"/>
    </row>
    <row r="100" spans="1:9" ht="27.75" hidden="1" customHeight="1">
      <c r="A100" s="2"/>
      <c r="B100" s="2"/>
      <c r="C100" s="2"/>
      <c r="D100" s="2"/>
      <c r="E100" s="2"/>
      <c r="F100" s="2"/>
      <c r="G100" s="2"/>
      <c r="H100" s="2"/>
      <c r="I100" s="2"/>
    </row>
    <row r="101" spans="1:9" ht="27.75" hidden="1" customHeight="1">
      <c r="A101" s="2"/>
      <c r="B101" s="2"/>
      <c r="C101" s="2"/>
      <c r="D101" s="2"/>
      <c r="E101" s="2"/>
      <c r="F101" s="2"/>
      <c r="G101" s="2"/>
      <c r="H101" s="2"/>
      <c r="I101" s="2"/>
    </row>
    <row r="102" spans="1:9" ht="27.75" hidden="1" customHeight="1">
      <c r="A102" s="2"/>
      <c r="B102" s="2"/>
      <c r="C102" s="2"/>
      <c r="D102" s="2"/>
      <c r="E102" s="2"/>
      <c r="F102" s="2"/>
      <c r="G102" s="2"/>
      <c r="H102" s="2"/>
      <c r="I102" s="2"/>
    </row>
    <row r="103" spans="1:9" ht="27.75" hidden="1" customHeight="1">
      <c r="A103" s="2"/>
      <c r="B103" s="2"/>
      <c r="C103" s="2"/>
      <c r="D103" s="2"/>
      <c r="E103" s="2"/>
      <c r="F103" s="2"/>
      <c r="G103" s="2"/>
      <c r="H103" s="2"/>
      <c r="I103" s="2"/>
    </row>
    <row r="104" spans="1:9" ht="27.75" hidden="1" customHeight="1">
      <c r="A104" s="2"/>
      <c r="B104" s="2"/>
      <c r="C104" s="2"/>
      <c r="D104" s="2"/>
      <c r="E104" s="2"/>
      <c r="F104" s="2"/>
      <c r="G104" s="2"/>
      <c r="H104" s="2"/>
      <c r="I104" s="2"/>
    </row>
    <row r="105" spans="1:9" ht="27.75" hidden="1" customHeight="1">
      <c r="A105" s="2"/>
      <c r="B105" s="2"/>
      <c r="C105" s="2"/>
      <c r="D105" s="2"/>
      <c r="E105" s="2"/>
      <c r="F105" s="2"/>
      <c r="G105" s="2"/>
      <c r="H105" s="2"/>
      <c r="I105" s="2"/>
    </row>
    <row r="106" spans="1:9" ht="27.75" hidden="1" customHeight="1">
      <c r="A106" s="2"/>
      <c r="B106" s="2"/>
      <c r="C106" s="2"/>
      <c r="D106" s="2"/>
      <c r="E106" s="2"/>
      <c r="F106" s="2"/>
      <c r="G106" s="2"/>
      <c r="H106" s="2"/>
      <c r="I106" s="2"/>
    </row>
    <row r="107" spans="1:9" ht="27.75" hidden="1" customHeight="1">
      <c r="A107" s="2"/>
      <c r="B107" s="2"/>
      <c r="C107" s="2"/>
      <c r="D107" s="2"/>
      <c r="E107" s="2"/>
      <c r="F107" s="2"/>
      <c r="G107" s="2"/>
      <c r="H107" s="2"/>
      <c r="I107" s="2"/>
    </row>
    <row r="108" spans="1:9" ht="27.75" hidden="1" customHeight="1">
      <c r="A108" s="2"/>
      <c r="B108" s="2"/>
      <c r="C108" s="2"/>
      <c r="D108" s="2"/>
      <c r="E108" s="2"/>
      <c r="F108" s="2"/>
      <c r="G108" s="2"/>
      <c r="H108" s="2"/>
      <c r="I108" s="2"/>
    </row>
    <row r="109" spans="1:9" ht="27.75" hidden="1" customHeight="1">
      <c r="A109" s="2"/>
      <c r="B109" s="2"/>
      <c r="C109" s="2"/>
      <c r="D109" s="2"/>
      <c r="E109" s="2"/>
      <c r="F109" s="2"/>
      <c r="G109" s="2"/>
      <c r="H109" s="2"/>
      <c r="I109" s="2"/>
    </row>
    <row r="110" spans="1:9" ht="27.75" hidden="1" customHeight="1">
      <c r="A110" s="2"/>
      <c r="B110" s="2"/>
      <c r="C110" s="2"/>
      <c r="D110" s="2"/>
      <c r="E110" s="2"/>
      <c r="F110" s="2"/>
      <c r="G110" s="2"/>
      <c r="H110" s="2"/>
      <c r="I110" s="2"/>
    </row>
    <row r="111" spans="1:9" ht="27.75" hidden="1" customHeight="1">
      <c r="A111" s="2"/>
      <c r="B111" s="2"/>
      <c r="C111" s="2"/>
      <c r="D111" s="2"/>
      <c r="E111" s="2"/>
      <c r="F111" s="2"/>
      <c r="G111" s="2"/>
      <c r="H111" s="2"/>
      <c r="I111" s="2"/>
    </row>
    <row r="112" spans="1:9" ht="27.75" hidden="1" customHeight="1">
      <c r="A112" s="2"/>
      <c r="B112" s="2"/>
      <c r="C112" s="2"/>
      <c r="D112" s="2"/>
      <c r="E112" s="2"/>
      <c r="F112" s="2"/>
      <c r="G112" s="2"/>
      <c r="H112" s="2"/>
      <c r="I112" s="2"/>
    </row>
    <row r="113" spans="1:9" ht="27.75" hidden="1" customHeight="1">
      <c r="A113" s="2"/>
      <c r="B113" s="2"/>
      <c r="C113" s="2"/>
      <c r="D113" s="2"/>
      <c r="E113" s="2"/>
      <c r="F113" s="2"/>
      <c r="G113" s="2"/>
      <c r="H113" s="2"/>
      <c r="I113" s="2"/>
    </row>
    <row r="114" spans="1:9" ht="27.75" hidden="1" customHeight="1">
      <c r="A114" s="2"/>
      <c r="B114" s="2"/>
      <c r="C114" s="2"/>
      <c r="D114" s="2"/>
      <c r="E114" s="2"/>
      <c r="F114" s="2"/>
      <c r="G114" s="2"/>
      <c r="H114" s="2"/>
      <c r="I114" s="2"/>
    </row>
    <row r="115" spans="1:9" ht="27.75" hidden="1" customHeight="1">
      <c r="A115" s="2"/>
      <c r="B115" s="2"/>
      <c r="C115" s="2"/>
      <c r="D115" s="2"/>
      <c r="E115" s="2"/>
      <c r="F115" s="2"/>
      <c r="G115" s="2"/>
      <c r="H115" s="2"/>
      <c r="I115" s="2"/>
    </row>
    <row r="116" spans="1:9" ht="27.75" hidden="1" customHeight="1">
      <c r="A116" s="2"/>
      <c r="B116" s="2"/>
      <c r="C116" s="2"/>
      <c r="D116" s="2"/>
      <c r="E116" s="2"/>
      <c r="F116" s="2"/>
      <c r="G116" s="2"/>
      <c r="H116" s="2"/>
      <c r="I116" s="2"/>
    </row>
    <row r="117" spans="1:9" ht="27.75" hidden="1" customHeight="1">
      <c r="A117" s="2"/>
      <c r="B117" s="2"/>
      <c r="C117" s="2"/>
      <c r="D117" s="2"/>
      <c r="E117" s="2"/>
      <c r="F117" s="2"/>
      <c r="G117" s="2"/>
      <c r="H117" s="2"/>
      <c r="I117" s="2"/>
    </row>
    <row r="118" spans="1:9" ht="27.75" hidden="1" customHeight="1">
      <c r="A118" s="2"/>
      <c r="B118" s="2"/>
      <c r="C118" s="2"/>
      <c r="D118" s="2"/>
      <c r="E118" s="2"/>
      <c r="F118" s="2"/>
      <c r="G118" s="2"/>
      <c r="H118" s="2"/>
      <c r="I118" s="2"/>
    </row>
    <row r="119" spans="1:9" ht="27.75" hidden="1" customHeight="1">
      <c r="A119" s="2"/>
      <c r="B119" s="2"/>
      <c r="C119" s="2"/>
      <c r="D119" s="2"/>
      <c r="E119" s="2"/>
      <c r="F119" s="2"/>
      <c r="G119" s="2"/>
      <c r="H119" s="2"/>
      <c r="I119" s="2"/>
    </row>
    <row r="120" spans="1:9" ht="27.75" hidden="1" customHeight="1">
      <c r="A120" s="2"/>
      <c r="B120" s="2"/>
      <c r="C120" s="2"/>
      <c r="D120" s="2"/>
      <c r="E120" s="2"/>
      <c r="F120" s="2"/>
      <c r="G120" s="2"/>
      <c r="H120" s="2"/>
      <c r="I120" s="2"/>
    </row>
    <row r="121" spans="1:9" ht="27.75" hidden="1" customHeight="1">
      <c r="A121" s="2"/>
      <c r="B121" s="2"/>
      <c r="C121" s="2"/>
      <c r="D121" s="2"/>
      <c r="E121" s="2"/>
      <c r="F121" s="2"/>
      <c r="G121" s="2"/>
      <c r="H121" s="2"/>
      <c r="I121" s="2"/>
    </row>
    <row r="122" spans="1:9" ht="27.75" hidden="1" customHeight="1">
      <c r="A122" s="2"/>
      <c r="B122" s="2"/>
      <c r="C122" s="2"/>
      <c r="D122" s="2"/>
      <c r="E122" s="2"/>
      <c r="F122" s="2"/>
      <c r="G122" s="2"/>
      <c r="H122" s="2"/>
      <c r="I122" s="2"/>
    </row>
    <row r="123" spans="1:9" ht="27.75" hidden="1" customHeight="1">
      <c r="A123" s="2"/>
      <c r="B123" s="2"/>
      <c r="C123" s="2"/>
      <c r="D123" s="2"/>
      <c r="E123" s="2"/>
      <c r="F123" s="2"/>
      <c r="G123" s="2"/>
      <c r="H123" s="2"/>
      <c r="I123" s="2"/>
    </row>
    <row r="124" spans="1:9" ht="27.75" hidden="1" customHeight="1">
      <c r="A124" s="2"/>
      <c r="B124" s="2"/>
      <c r="C124" s="2"/>
      <c r="D124" s="2"/>
      <c r="E124" s="2"/>
      <c r="F124" s="2"/>
      <c r="G124" s="2"/>
      <c r="H124" s="2"/>
      <c r="I124" s="2"/>
    </row>
    <row r="125" spans="1:9" ht="27.75" hidden="1" customHeight="1">
      <c r="A125" s="2"/>
      <c r="B125" s="2"/>
      <c r="C125" s="2"/>
      <c r="D125" s="2"/>
      <c r="E125" s="2"/>
      <c r="F125" s="2"/>
      <c r="G125" s="2"/>
      <c r="H125" s="2"/>
      <c r="I125" s="2"/>
    </row>
    <row r="126" spans="1:9" ht="27.75" hidden="1" customHeight="1">
      <c r="A126" s="2"/>
      <c r="B126" s="2"/>
      <c r="C126" s="2"/>
      <c r="D126" s="2"/>
      <c r="E126" s="2"/>
      <c r="F126" s="2"/>
      <c r="G126" s="2"/>
      <c r="H126" s="2"/>
      <c r="I126" s="2"/>
    </row>
    <row r="127" spans="1:9" ht="27.75" hidden="1" customHeight="1">
      <c r="A127" s="2"/>
      <c r="B127" s="2"/>
      <c r="C127" s="2"/>
      <c r="D127" s="2"/>
      <c r="E127" s="2"/>
      <c r="F127" s="2"/>
      <c r="G127" s="2"/>
      <c r="H127" s="2"/>
      <c r="I127" s="2"/>
    </row>
    <row r="128" spans="1:9" ht="27.75" hidden="1" customHeight="1">
      <c r="A128" s="2"/>
      <c r="B128" s="2"/>
      <c r="C128" s="2"/>
      <c r="D128" s="2"/>
      <c r="E128" s="2"/>
      <c r="F128" s="2"/>
      <c r="G128" s="2"/>
      <c r="H128" s="2"/>
      <c r="I128" s="2"/>
    </row>
    <row r="129" spans="1:9" ht="27.75" hidden="1" customHeight="1">
      <c r="A129" s="2"/>
      <c r="B129" s="2"/>
      <c r="C129" s="2"/>
      <c r="D129" s="2"/>
      <c r="E129" s="2"/>
      <c r="F129" s="2"/>
      <c r="G129" s="2"/>
      <c r="H129" s="2"/>
      <c r="I129" s="2"/>
    </row>
    <row r="130" spans="1:9" ht="27.75" hidden="1" customHeight="1">
      <c r="A130" s="2"/>
      <c r="B130" s="2"/>
      <c r="C130" s="2"/>
      <c r="D130" s="2"/>
      <c r="E130" s="2"/>
      <c r="F130" s="2"/>
      <c r="G130" s="2"/>
      <c r="H130" s="2"/>
      <c r="I130" s="2"/>
    </row>
    <row r="131" spans="1:9" ht="27.75" hidden="1" customHeight="1">
      <c r="A131" s="2"/>
      <c r="B131" s="2"/>
      <c r="C131" s="2"/>
      <c r="D131" s="2"/>
      <c r="E131" s="2"/>
      <c r="F131" s="2"/>
      <c r="G131" s="2"/>
      <c r="H131" s="2"/>
      <c r="I131" s="2"/>
    </row>
    <row r="132" spans="1:9" ht="27.75" hidden="1" customHeight="1">
      <c r="A132" s="2"/>
      <c r="B132" s="2"/>
      <c r="C132" s="2"/>
      <c r="D132" s="2"/>
      <c r="E132" s="2"/>
      <c r="F132" s="2"/>
      <c r="G132" s="2"/>
      <c r="H132" s="2"/>
      <c r="I132" s="2"/>
    </row>
    <row r="133" spans="1:9" ht="27.75" hidden="1" customHeight="1">
      <c r="A133" s="2"/>
      <c r="B133" s="2"/>
      <c r="C133" s="2"/>
      <c r="D133" s="2"/>
      <c r="E133" s="2"/>
      <c r="F133" s="2"/>
      <c r="G133" s="2"/>
      <c r="H133" s="2"/>
      <c r="I133" s="2"/>
    </row>
    <row r="134" spans="1:9" ht="27.75" hidden="1" customHeight="1">
      <c r="A134" s="2"/>
      <c r="B134" s="2"/>
      <c r="C134" s="2"/>
      <c r="D134" s="2"/>
      <c r="E134" s="2"/>
      <c r="F134" s="2"/>
      <c r="G134" s="2"/>
      <c r="H134" s="2"/>
      <c r="I134" s="2"/>
    </row>
    <row r="135" spans="1:9" ht="27.75" hidden="1" customHeight="1">
      <c r="A135" s="2"/>
      <c r="B135" s="2"/>
      <c r="C135" s="2"/>
      <c r="D135" s="2"/>
      <c r="E135" s="2"/>
      <c r="F135" s="2"/>
      <c r="G135" s="2"/>
      <c r="H135" s="2"/>
      <c r="I135" s="2"/>
    </row>
    <row r="136" spans="1:9" ht="27.75" hidden="1" customHeight="1">
      <c r="A136" s="2"/>
      <c r="B136" s="2"/>
      <c r="C136" s="2"/>
      <c r="D136" s="2"/>
      <c r="E136" s="2"/>
      <c r="F136" s="2"/>
      <c r="G136" s="2"/>
      <c r="H136" s="2"/>
      <c r="I136" s="2"/>
    </row>
    <row r="137" spans="1:9" ht="27.75" hidden="1" customHeight="1">
      <c r="A137" s="2"/>
      <c r="B137" s="2"/>
      <c r="C137" s="2"/>
      <c r="D137" s="2"/>
      <c r="E137" s="2"/>
      <c r="F137" s="2"/>
      <c r="G137" s="2"/>
      <c r="H137" s="2"/>
      <c r="I137" s="2"/>
    </row>
    <row r="138" spans="1:9" ht="27.75" hidden="1" customHeight="1">
      <c r="A138" s="2"/>
      <c r="B138" s="2"/>
      <c r="C138" s="2"/>
      <c r="D138" s="2"/>
      <c r="E138" s="2"/>
      <c r="F138" s="2"/>
      <c r="G138" s="2"/>
      <c r="H138" s="2"/>
      <c r="I138" s="2"/>
    </row>
    <row r="139" spans="1:9" ht="27.75" hidden="1" customHeight="1">
      <c r="A139" s="2"/>
      <c r="B139" s="2"/>
      <c r="C139" s="2"/>
      <c r="D139" s="2"/>
      <c r="E139" s="2"/>
      <c r="F139" s="2"/>
      <c r="G139" s="2"/>
      <c r="H139" s="2"/>
      <c r="I139" s="2"/>
    </row>
    <row r="140" spans="1:9" ht="27.75" hidden="1" customHeight="1">
      <c r="A140" s="2"/>
      <c r="B140" s="2"/>
      <c r="C140" s="2"/>
      <c r="D140" s="2"/>
      <c r="E140" s="2"/>
      <c r="F140" s="2"/>
      <c r="G140" s="2"/>
      <c r="H140" s="2"/>
      <c r="I140" s="2"/>
    </row>
    <row r="141" spans="1:9" ht="27.75" hidden="1" customHeight="1">
      <c r="A141" s="2"/>
      <c r="B141" s="2"/>
      <c r="C141" s="2"/>
      <c r="D141" s="2"/>
      <c r="E141" s="2"/>
      <c r="F141" s="2"/>
      <c r="G141" s="2"/>
      <c r="H141" s="2"/>
      <c r="I141" s="2"/>
    </row>
    <row r="142" spans="1:9" ht="27.75" hidden="1" customHeight="1">
      <c r="A142" s="2"/>
      <c r="B142" s="2"/>
      <c r="C142" s="2"/>
      <c r="D142" s="2"/>
      <c r="E142" s="2"/>
      <c r="F142" s="2"/>
      <c r="G142" s="2"/>
      <c r="H142" s="2"/>
      <c r="I142" s="2"/>
    </row>
    <row r="143" spans="1:9" ht="27.75" hidden="1" customHeight="1">
      <c r="A143" s="2"/>
      <c r="B143" s="2"/>
      <c r="C143" s="2"/>
      <c r="D143" s="2"/>
      <c r="E143" s="2"/>
      <c r="F143" s="2"/>
      <c r="G143" s="2"/>
      <c r="H143" s="2"/>
      <c r="I143" s="2"/>
    </row>
    <row r="144" spans="1:9" ht="27.75" hidden="1" customHeight="1">
      <c r="A144" s="2"/>
      <c r="B144" s="2"/>
      <c r="C144" s="2"/>
      <c r="D144" s="2"/>
      <c r="E144" s="2"/>
      <c r="F144" s="2"/>
      <c r="G144" s="2"/>
      <c r="H144" s="2"/>
      <c r="I144" s="2"/>
    </row>
    <row r="145" spans="1:9" ht="27.75" hidden="1" customHeight="1">
      <c r="A145" s="2"/>
      <c r="B145" s="2"/>
      <c r="C145" s="2"/>
      <c r="D145" s="2"/>
      <c r="E145" s="2"/>
      <c r="F145" s="2"/>
      <c r="G145" s="2"/>
      <c r="H145" s="2"/>
      <c r="I145" s="2"/>
    </row>
    <row r="146" spans="1:9" ht="27.75" hidden="1" customHeight="1">
      <c r="A146" s="2"/>
      <c r="B146" s="2"/>
      <c r="C146" s="2"/>
      <c r="D146" s="2"/>
      <c r="E146" s="2"/>
      <c r="F146" s="2"/>
      <c r="G146" s="2"/>
      <c r="H146" s="2"/>
      <c r="I146" s="2"/>
    </row>
    <row r="147" spans="1:9" ht="27.75" hidden="1" customHeight="1">
      <c r="A147" s="121"/>
      <c r="B147" s="2"/>
      <c r="C147" s="2"/>
      <c r="D147" s="2"/>
      <c r="E147" s="2"/>
      <c r="F147" s="2"/>
      <c r="G147" s="2"/>
      <c r="H147" s="2"/>
      <c r="I147" s="2"/>
    </row>
    <row r="148" spans="1:9" ht="27.75" hidden="1" customHeight="1">
      <c r="A148" s="121"/>
      <c r="B148" s="2"/>
      <c r="C148" s="2"/>
      <c r="D148" s="2"/>
      <c r="E148" s="2"/>
      <c r="F148" s="2"/>
      <c r="G148" s="2"/>
      <c r="H148" s="2"/>
      <c r="I148" s="2"/>
    </row>
    <row r="149" spans="1:9" ht="27.75" hidden="1" customHeight="1">
      <c r="A149" s="2"/>
      <c r="B149" s="2"/>
      <c r="C149" s="2"/>
      <c r="D149" s="2"/>
      <c r="E149" s="2"/>
      <c r="F149" s="2"/>
      <c r="G149" s="2"/>
      <c r="H149" s="2"/>
      <c r="I149" s="2"/>
    </row>
    <row r="150" spans="1:9" ht="27.75" hidden="1" customHeight="1">
      <c r="A150" s="2"/>
      <c r="B150" s="2"/>
      <c r="C150" s="2"/>
      <c r="D150" s="2"/>
      <c r="E150" s="2"/>
      <c r="F150" s="2"/>
      <c r="G150" s="2"/>
      <c r="H150" s="2"/>
      <c r="I150" s="2"/>
    </row>
    <row r="151" spans="1:9" ht="27.75" hidden="1" customHeight="1">
      <c r="A151" s="2"/>
      <c r="B151" s="2"/>
      <c r="C151" s="2"/>
      <c r="D151" s="2"/>
      <c r="E151" s="2"/>
      <c r="F151" s="2"/>
      <c r="G151" s="2"/>
      <c r="H151" s="2"/>
      <c r="I151" s="2"/>
    </row>
    <row r="152" spans="1:9" ht="27.75" hidden="1" customHeight="1">
      <c r="A152" s="2"/>
      <c r="B152" s="2"/>
      <c r="C152" s="2"/>
      <c r="D152" s="2"/>
      <c r="E152" s="2"/>
      <c r="F152" s="2"/>
      <c r="G152" s="2"/>
      <c r="H152" s="2"/>
      <c r="I152" s="2"/>
    </row>
    <row r="153" spans="1:9" ht="27.75" hidden="1" customHeight="1">
      <c r="A153" s="2"/>
      <c r="B153" s="2"/>
      <c r="C153" s="2"/>
      <c r="D153" s="2"/>
      <c r="E153" s="2"/>
      <c r="F153" s="2"/>
      <c r="G153" s="2"/>
      <c r="H153" s="2"/>
      <c r="I153" s="2"/>
    </row>
    <row r="154" spans="1:9" ht="27.75" hidden="1" customHeight="1">
      <c r="A154" s="2"/>
      <c r="B154" s="2"/>
      <c r="C154" s="2"/>
      <c r="D154" s="2"/>
      <c r="E154" s="2"/>
      <c r="F154" s="2"/>
      <c r="G154" s="2"/>
      <c r="H154" s="2"/>
      <c r="I154" s="2"/>
    </row>
    <row r="155" spans="1:9" ht="27.75" hidden="1" customHeight="1">
      <c r="A155" s="2"/>
      <c r="B155" s="2"/>
      <c r="C155" s="2"/>
      <c r="D155" s="2"/>
      <c r="E155" s="2"/>
      <c r="F155" s="2"/>
      <c r="G155" s="2"/>
      <c r="H155" s="2"/>
      <c r="I155" s="2"/>
    </row>
    <row r="156" spans="1:9" ht="27.75" hidden="1" customHeight="1">
      <c r="A156" s="2"/>
      <c r="B156" s="2"/>
      <c r="C156" s="2"/>
      <c r="D156" s="2"/>
      <c r="E156" s="2"/>
      <c r="F156" s="2"/>
      <c r="G156" s="2"/>
      <c r="H156" s="2"/>
      <c r="I156" s="2"/>
    </row>
    <row r="157" spans="1:9" ht="27.75" hidden="1" customHeight="1">
      <c r="A157" s="2"/>
      <c r="B157" s="2"/>
      <c r="C157" s="2"/>
      <c r="D157" s="2"/>
      <c r="E157" s="2"/>
      <c r="F157" s="2"/>
      <c r="G157" s="2"/>
      <c r="H157" s="2"/>
      <c r="I157" s="2"/>
    </row>
    <row r="158" spans="1:9" ht="27.75" hidden="1" customHeight="1">
      <c r="A158" s="2"/>
      <c r="B158" s="2"/>
      <c r="C158" s="2"/>
      <c r="D158" s="2"/>
      <c r="E158" s="2"/>
      <c r="F158" s="2"/>
      <c r="G158" s="2"/>
      <c r="H158" s="2"/>
      <c r="I158" s="2"/>
    </row>
    <row r="159" spans="1:9" ht="27.75" hidden="1" customHeight="1">
      <c r="A159" s="2"/>
      <c r="B159" s="2"/>
      <c r="C159" s="2"/>
      <c r="D159" s="2"/>
      <c r="E159" s="2"/>
      <c r="F159" s="2"/>
      <c r="G159" s="2"/>
      <c r="H159" s="2"/>
      <c r="I159" s="2"/>
    </row>
    <row r="160" spans="1:9" ht="27.75" hidden="1" customHeight="1">
      <c r="A160" s="2"/>
      <c r="B160" s="2"/>
      <c r="C160" s="2"/>
      <c r="D160" s="2"/>
      <c r="E160" s="2"/>
      <c r="F160" s="2"/>
      <c r="G160" s="2"/>
      <c r="H160" s="2"/>
      <c r="I160" s="2"/>
    </row>
    <row r="161" spans="1:9" ht="27.75" hidden="1" customHeight="1">
      <c r="A161" s="2"/>
      <c r="B161" s="2"/>
      <c r="C161" s="2"/>
      <c r="D161" s="2"/>
      <c r="E161" s="2"/>
      <c r="F161" s="2"/>
      <c r="G161" s="2"/>
      <c r="H161" s="2"/>
      <c r="I161" s="2"/>
    </row>
    <row r="162" spans="1:9" ht="27.75" hidden="1" customHeight="1">
      <c r="A162" s="2"/>
      <c r="B162" s="2"/>
      <c r="C162" s="2"/>
      <c r="D162" s="2"/>
      <c r="E162" s="2"/>
      <c r="F162" s="2"/>
      <c r="G162" s="2"/>
      <c r="H162" s="2"/>
      <c r="I162" s="2"/>
    </row>
    <row r="163" spans="1:9" ht="27.75" hidden="1" customHeight="1">
      <c r="A163" s="2"/>
      <c r="B163" s="2"/>
      <c r="C163" s="2"/>
      <c r="D163" s="2"/>
      <c r="E163" s="2"/>
      <c r="F163" s="2"/>
      <c r="G163" s="2"/>
      <c r="H163" s="2"/>
      <c r="I163" s="2"/>
    </row>
    <row r="164" spans="1:9" ht="27.75" hidden="1" customHeight="1">
      <c r="A164" s="2"/>
      <c r="B164" s="2"/>
      <c r="C164" s="2"/>
      <c r="D164" s="2"/>
      <c r="E164" s="2"/>
      <c r="F164" s="2"/>
      <c r="G164" s="2"/>
      <c r="H164" s="2"/>
      <c r="I164" s="2"/>
    </row>
    <row r="165" spans="1:9" ht="27.75" hidden="1" customHeight="1">
      <c r="A165" s="2"/>
      <c r="B165" s="2"/>
      <c r="C165" s="2"/>
      <c r="D165" s="2"/>
      <c r="E165" s="2"/>
      <c r="F165" s="2"/>
      <c r="G165" s="2"/>
      <c r="H165" s="2"/>
      <c r="I165" s="2"/>
    </row>
    <row r="166" spans="1:9" ht="27.75" hidden="1" customHeight="1">
      <c r="A166" s="2"/>
      <c r="B166" s="2"/>
      <c r="C166" s="2"/>
      <c r="D166" s="2"/>
      <c r="E166" s="2"/>
      <c r="F166" s="2"/>
      <c r="G166" s="2"/>
      <c r="H166" s="2"/>
      <c r="I166" s="2"/>
    </row>
    <row r="167" spans="1:9" ht="27.75" hidden="1" customHeight="1">
      <c r="A167" s="2"/>
      <c r="B167" s="2"/>
      <c r="C167" s="2"/>
      <c r="D167" s="2"/>
      <c r="E167" s="2"/>
      <c r="F167" s="2"/>
      <c r="G167" s="2"/>
      <c r="H167" s="2"/>
      <c r="I167" s="2"/>
    </row>
    <row r="168" spans="1:9" ht="27.75" hidden="1" customHeight="1">
      <c r="A168" s="2"/>
      <c r="B168" s="2"/>
      <c r="C168" s="2"/>
      <c r="D168" s="2"/>
      <c r="E168" s="2"/>
      <c r="F168" s="2"/>
      <c r="G168" s="2"/>
      <c r="H168" s="2"/>
      <c r="I168" s="2"/>
    </row>
    <row r="169" spans="1:9" ht="27.75" hidden="1" customHeight="1">
      <c r="A169" s="2"/>
      <c r="B169" s="2"/>
      <c r="C169" s="2"/>
      <c r="D169" s="2"/>
      <c r="E169" s="2"/>
      <c r="F169" s="2"/>
      <c r="G169" s="2"/>
      <c r="H169" s="2"/>
      <c r="I169" s="2"/>
    </row>
    <row r="170" spans="1:9" ht="27.75" hidden="1" customHeight="1">
      <c r="A170" s="2"/>
      <c r="B170" s="2"/>
      <c r="C170" s="2"/>
      <c r="D170" s="2"/>
      <c r="E170" s="2"/>
      <c r="F170" s="2"/>
      <c r="G170" s="2"/>
      <c r="H170" s="2"/>
      <c r="I170" s="2"/>
    </row>
    <row r="171" spans="1:9" ht="27.75" hidden="1" customHeight="1">
      <c r="A171" s="2"/>
      <c r="B171" s="2"/>
      <c r="C171" s="2"/>
      <c r="D171" s="2"/>
      <c r="E171" s="2"/>
      <c r="F171" s="2"/>
      <c r="G171" s="2"/>
      <c r="H171" s="2"/>
      <c r="I171" s="2"/>
    </row>
    <row r="172" spans="1:9" ht="27.75" hidden="1" customHeight="1">
      <c r="A172" s="2"/>
      <c r="B172" s="2"/>
      <c r="C172" s="2"/>
      <c r="D172" s="2"/>
      <c r="E172" s="2"/>
      <c r="F172" s="2"/>
      <c r="G172" s="2"/>
      <c r="H172" s="2"/>
      <c r="I172" s="2"/>
    </row>
    <row r="173" spans="1:9" ht="27.75" hidden="1" customHeight="1">
      <c r="A173" s="2"/>
      <c r="B173" s="2"/>
      <c r="C173" s="2"/>
      <c r="D173" s="2"/>
      <c r="E173" s="2"/>
      <c r="F173" s="2"/>
      <c r="G173" s="2"/>
      <c r="H173" s="2"/>
      <c r="I173" s="2"/>
    </row>
    <row r="174" spans="1:9" ht="27.75" hidden="1" customHeight="1">
      <c r="A174" s="2"/>
      <c r="B174" s="2"/>
      <c r="C174" s="2"/>
      <c r="D174" s="2"/>
      <c r="E174" s="2"/>
      <c r="F174" s="2"/>
      <c r="G174" s="2"/>
      <c r="H174" s="2"/>
      <c r="I174" s="2"/>
    </row>
    <row r="175" spans="1:9" ht="27.75" hidden="1" customHeight="1">
      <c r="A175" s="2"/>
      <c r="B175" s="2"/>
      <c r="C175" s="2"/>
      <c r="D175" s="2"/>
      <c r="E175" s="2"/>
      <c r="F175" s="2"/>
      <c r="G175" s="2"/>
      <c r="H175" s="2"/>
      <c r="I175" s="2"/>
    </row>
    <row r="176" spans="1:9" ht="27.75" hidden="1" customHeight="1">
      <c r="A176" s="2"/>
      <c r="B176" s="2"/>
      <c r="C176" s="2"/>
      <c r="D176" s="2"/>
      <c r="E176" s="2"/>
      <c r="F176" s="2"/>
      <c r="G176" s="2"/>
      <c r="H176" s="2"/>
      <c r="I176" s="2"/>
    </row>
    <row r="177" spans="1:9" ht="27.75" hidden="1" customHeight="1">
      <c r="A177" s="2"/>
      <c r="B177" s="2"/>
      <c r="C177" s="2"/>
      <c r="D177" s="2"/>
      <c r="E177" s="2"/>
      <c r="F177" s="2"/>
      <c r="G177" s="2"/>
      <c r="H177" s="2"/>
      <c r="I177" s="2"/>
    </row>
    <row r="178" spans="1:9" ht="27.75" hidden="1" customHeight="1">
      <c r="A178" s="2"/>
      <c r="B178" s="2"/>
      <c r="C178" s="2"/>
      <c r="D178" s="2"/>
      <c r="E178" s="2"/>
      <c r="F178" s="2"/>
      <c r="G178" s="2"/>
      <c r="H178" s="2"/>
      <c r="I178" s="2"/>
    </row>
    <row r="179" spans="1:9" ht="27.75" hidden="1" customHeight="1">
      <c r="A179" s="2"/>
      <c r="B179" s="2"/>
      <c r="C179" s="2"/>
      <c r="D179" s="2"/>
      <c r="E179" s="2"/>
      <c r="F179" s="2"/>
      <c r="G179" s="2"/>
      <c r="H179" s="2"/>
      <c r="I179" s="2"/>
    </row>
    <row r="180" spans="1:9" ht="27.75" hidden="1" customHeight="1">
      <c r="A180" s="2"/>
      <c r="B180" s="2"/>
      <c r="C180" s="2"/>
      <c r="D180" s="2"/>
      <c r="E180" s="2"/>
      <c r="F180" s="2"/>
      <c r="G180" s="2"/>
      <c r="H180" s="2"/>
      <c r="I180" s="2"/>
    </row>
    <row r="181" spans="1:9" ht="27.75" hidden="1" customHeight="1">
      <c r="A181" s="2"/>
      <c r="B181" s="2"/>
      <c r="C181" s="2"/>
      <c r="D181" s="2"/>
      <c r="E181" s="2"/>
      <c r="F181" s="2"/>
      <c r="G181" s="2"/>
      <c r="H181" s="2"/>
      <c r="I181" s="2"/>
    </row>
    <row r="182" spans="1:9" ht="27.75" hidden="1" customHeight="1">
      <c r="A182" s="2"/>
      <c r="B182" s="2"/>
      <c r="C182" s="2"/>
      <c r="D182" s="2"/>
      <c r="E182" s="2"/>
      <c r="F182" s="2"/>
      <c r="G182" s="2"/>
      <c r="H182" s="2"/>
      <c r="I182" s="2"/>
    </row>
    <row r="183" spans="1:9" ht="27.75" hidden="1" customHeight="1">
      <c r="A183" s="2"/>
      <c r="B183" s="2"/>
      <c r="C183" s="2"/>
      <c r="D183" s="2"/>
      <c r="E183" s="2"/>
      <c r="F183" s="2"/>
      <c r="G183" s="2"/>
      <c r="H183" s="2"/>
      <c r="I183" s="2"/>
    </row>
    <row r="184" spans="1:9" ht="27.75" hidden="1" customHeight="1">
      <c r="A184" s="2"/>
      <c r="B184" s="2"/>
      <c r="C184" s="2"/>
      <c r="D184" s="2"/>
      <c r="E184" s="2"/>
      <c r="F184" s="2"/>
      <c r="G184" s="2"/>
      <c r="H184" s="2"/>
      <c r="I184" s="2"/>
    </row>
    <row r="185" spans="1:9" ht="27.75" hidden="1" customHeight="1">
      <c r="A185" s="2"/>
      <c r="B185" s="2"/>
      <c r="C185" s="2"/>
      <c r="D185" s="2"/>
      <c r="E185" s="2"/>
      <c r="F185" s="2"/>
      <c r="G185" s="2"/>
      <c r="H185" s="2"/>
      <c r="I185" s="2"/>
    </row>
    <row r="186" spans="1:9" ht="27.75" hidden="1" customHeight="1">
      <c r="A186" s="2"/>
      <c r="B186" s="2"/>
      <c r="C186" s="2"/>
      <c r="D186" s="2"/>
      <c r="E186" s="2"/>
      <c r="F186" s="2"/>
      <c r="G186" s="2"/>
      <c r="H186" s="2"/>
      <c r="I186" s="2"/>
    </row>
    <row r="187" spans="1:9" ht="27.75" hidden="1" customHeight="1">
      <c r="A187" s="2"/>
      <c r="B187" s="2"/>
      <c r="C187" s="2"/>
      <c r="D187" s="2"/>
      <c r="E187" s="2"/>
      <c r="F187" s="2"/>
      <c r="G187" s="2"/>
      <c r="H187" s="2"/>
      <c r="I187" s="2"/>
    </row>
    <row r="188" spans="1:9" ht="27.75" hidden="1" customHeight="1">
      <c r="A188" s="2"/>
      <c r="B188" s="2"/>
      <c r="C188" s="2"/>
      <c r="D188" s="2"/>
      <c r="E188" s="2"/>
      <c r="F188" s="2"/>
      <c r="G188" s="2"/>
      <c r="H188" s="2"/>
      <c r="I188" s="2"/>
    </row>
    <row r="189" spans="1:9" ht="27.75" hidden="1" customHeight="1">
      <c r="A189" s="2"/>
      <c r="B189" s="2"/>
      <c r="C189" s="2"/>
      <c r="D189" s="2"/>
      <c r="E189" s="2"/>
      <c r="F189" s="2"/>
      <c r="G189" s="2"/>
      <c r="H189" s="2"/>
      <c r="I189" s="2"/>
    </row>
    <row r="190" spans="1:9" ht="27.75" hidden="1" customHeight="1">
      <c r="A190" s="2"/>
      <c r="B190" s="2"/>
      <c r="C190" s="2"/>
      <c r="D190" s="2"/>
      <c r="E190" s="2"/>
      <c r="F190" s="2"/>
      <c r="G190" s="2"/>
      <c r="H190" s="2"/>
      <c r="I190" s="2"/>
    </row>
    <row r="191" spans="1:9" ht="27.75" hidden="1" customHeight="1">
      <c r="A191" s="2"/>
      <c r="B191" s="2"/>
      <c r="C191" s="2"/>
      <c r="D191" s="2"/>
      <c r="E191" s="2"/>
      <c r="F191" s="2"/>
      <c r="G191" s="2"/>
      <c r="H191" s="2"/>
      <c r="I191" s="2"/>
    </row>
    <row r="192" spans="1:9" ht="27.75" hidden="1" customHeight="1">
      <c r="A192" s="2"/>
      <c r="B192" s="2"/>
      <c r="C192" s="2"/>
      <c r="D192" s="2"/>
      <c r="E192" s="2"/>
      <c r="F192" s="2"/>
      <c r="G192" s="2"/>
      <c r="H192" s="2"/>
      <c r="I192" s="2"/>
    </row>
    <row r="193" spans="1:9" ht="27.75" hidden="1" customHeight="1">
      <c r="A193" s="2"/>
      <c r="B193" s="2"/>
      <c r="C193" s="2"/>
      <c r="D193" s="2"/>
      <c r="E193" s="2"/>
      <c r="F193" s="2"/>
      <c r="G193" s="2"/>
      <c r="H193" s="2"/>
      <c r="I193" s="2"/>
    </row>
    <row r="194" spans="1:9" ht="27.75" hidden="1" customHeight="1">
      <c r="A194" s="2"/>
      <c r="B194" s="2"/>
      <c r="C194" s="2"/>
      <c r="D194" s="2"/>
      <c r="E194" s="2"/>
      <c r="F194" s="2"/>
      <c r="G194" s="2"/>
      <c r="H194" s="2"/>
      <c r="I194" s="2"/>
    </row>
    <row r="195" spans="1:9" ht="27.75" hidden="1" customHeight="1">
      <c r="A195" s="2"/>
      <c r="B195" s="2"/>
      <c r="C195" s="2"/>
      <c r="D195" s="2"/>
      <c r="E195" s="2"/>
      <c r="F195" s="2"/>
      <c r="G195" s="2"/>
      <c r="H195" s="2"/>
      <c r="I195" s="2"/>
    </row>
    <row r="196" spans="1:9" ht="27.75" hidden="1" customHeight="1">
      <c r="A196" s="2"/>
      <c r="B196" s="2"/>
      <c r="C196" s="2"/>
      <c r="D196" s="2"/>
      <c r="E196" s="2"/>
      <c r="F196" s="2"/>
      <c r="G196" s="2"/>
      <c r="H196" s="2"/>
      <c r="I196" s="2"/>
    </row>
    <row r="197" spans="1:9" ht="27.75" hidden="1" customHeight="1">
      <c r="A197" s="2"/>
      <c r="B197" s="2"/>
      <c r="C197" s="2"/>
      <c r="D197" s="2"/>
      <c r="E197" s="2"/>
      <c r="F197" s="2"/>
      <c r="G197" s="2"/>
      <c r="H197" s="2"/>
      <c r="I197" s="2"/>
    </row>
    <row r="198" spans="1:9" ht="27.75" hidden="1" customHeight="1">
      <c r="A198" s="2"/>
      <c r="B198" s="2"/>
      <c r="C198" s="2"/>
      <c r="D198" s="2"/>
      <c r="E198" s="2"/>
      <c r="F198" s="2"/>
      <c r="G198" s="2"/>
      <c r="H198" s="2"/>
      <c r="I198" s="2"/>
    </row>
    <row r="199" spans="1:9" ht="27.75" hidden="1" customHeight="1">
      <c r="A199" s="2"/>
      <c r="B199" s="2"/>
      <c r="C199" s="2"/>
      <c r="D199" s="2"/>
      <c r="E199" s="2"/>
      <c r="F199" s="2"/>
      <c r="G199" s="2"/>
      <c r="H199" s="2"/>
      <c r="I199" s="2"/>
    </row>
    <row r="200" spans="1:9" ht="27.75" hidden="1" customHeight="1">
      <c r="A200" s="2"/>
      <c r="B200" s="2"/>
      <c r="C200" s="2"/>
      <c r="D200" s="2"/>
      <c r="E200" s="2"/>
      <c r="F200" s="2"/>
      <c r="G200" s="2"/>
      <c r="H200" s="2"/>
      <c r="I200" s="2"/>
    </row>
    <row r="201" spans="1:9" ht="27.75" hidden="1" customHeight="1">
      <c r="A201" s="2"/>
      <c r="B201" s="2"/>
      <c r="C201" s="2"/>
      <c r="D201" s="2"/>
      <c r="E201" s="2"/>
      <c r="F201" s="2"/>
      <c r="G201" s="2"/>
      <c r="H201" s="2"/>
      <c r="I201" s="2"/>
    </row>
    <row r="202" spans="1:9" ht="27.75" hidden="1" customHeight="1">
      <c r="A202" s="2"/>
      <c r="B202" s="2"/>
      <c r="C202" s="2"/>
      <c r="D202" s="2"/>
      <c r="E202" s="2"/>
      <c r="F202" s="2"/>
      <c r="G202" s="2"/>
      <c r="H202" s="2"/>
      <c r="I202" s="2"/>
    </row>
    <row r="203" spans="1:9" ht="27.75" hidden="1" customHeight="1">
      <c r="A203" s="2"/>
      <c r="B203" s="2"/>
      <c r="C203" s="2"/>
      <c r="D203" s="2"/>
      <c r="E203" s="2"/>
      <c r="F203" s="2"/>
      <c r="G203" s="2"/>
      <c r="H203" s="2"/>
      <c r="I203" s="2"/>
    </row>
    <row r="204" spans="1:9" ht="27.75" hidden="1" customHeight="1">
      <c r="A204" s="2"/>
      <c r="B204" s="2"/>
      <c r="C204" s="2"/>
      <c r="D204" s="2"/>
      <c r="E204" s="2"/>
      <c r="F204" s="2"/>
      <c r="G204" s="2"/>
      <c r="H204" s="2"/>
      <c r="I204" s="2"/>
    </row>
    <row r="205" spans="1:9" ht="27.75" hidden="1" customHeight="1">
      <c r="A205" s="2"/>
      <c r="B205" s="2"/>
      <c r="C205" s="2"/>
      <c r="D205" s="2"/>
      <c r="E205" s="2"/>
      <c r="F205" s="2"/>
      <c r="G205" s="2"/>
      <c r="H205" s="2"/>
      <c r="I205" s="2"/>
    </row>
    <row r="206" spans="1:9" ht="27.75" hidden="1" customHeight="1">
      <c r="A206" s="2"/>
      <c r="B206" s="2"/>
      <c r="C206" s="2"/>
      <c r="D206" s="2"/>
      <c r="E206" s="2"/>
      <c r="F206" s="2"/>
      <c r="G206" s="2"/>
      <c r="H206" s="2"/>
      <c r="I206" s="2"/>
    </row>
    <row r="207" spans="1:9" ht="27.75" hidden="1" customHeight="1">
      <c r="A207" s="2"/>
      <c r="B207" s="2"/>
      <c r="C207" s="2"/>
      <c r="D207" s="2"/>
      <c r="E207" s="2"/>
      <c r="F207" s="2"/>
      <c r="G207" s="2"/>
      <c r="H207" s="2"/>
      <c r="I207" s="2"/>
    </row>
    <row r="208" spans="1:9" ht="27.75" hidden="1" customHeight="1">
      <c r="A208" s="2"/>
      <c r="B208" s="2"/>
      <c r="C208" s="2"/>
      <c r="D208" s="2"/>
      <c r="E208" s="2"/>
      <c r="F208" s="2"/>
      <c r="G208" s="2"/>
      <c r="H208" s="2"/>
      <c r="I208" s="2"/>
    </row>
    <row r="209" spans="1:9" ht="27.75" hidden="1" customHeight="1">
      <c r="A209" s="2"/>
      <c r="B209" s="2"/>
      <c r="C209" s="2"/>
      <c r="D209" s="2"/>
      <c r="E209" s="2"/>
      <c r="F209" s="2"/>
      <c r="G209" s="2"/>
      <c r="H209" s="2"/>
      <c r="I209" s="2"/>
    </row>
    <row r="210" spans="1:9" ht="27.75" hidden="1" customHeight="1">
      <c r="A210" s="2"/>
      <c r="B210" s="2"/>
      <c r="C210" s="2"/>
      <c r="D210" s="2"/>
      <c r="E210" s="2"/>
      <c r="F210" s="2"/>
      <c r="G210" s="2"/>
      <c r="H210" s="2"/>
      <c r="I210" s="2"/>
    </row>
    <row r="211" spans="1:9" ht="27.75" hidden="1" customHeight="1">
      <c r="A211" s="2"/>
      <c r="B211" s="2"/>
      <c r="C211" s="2"/>
      <c r="D211" s="2"/>
      <c r="E211" s="2"/>
      <c r="F211" s="2"/>
      <c r="G211" s="2"/>
      <c r="H211" s="2"/>
      <c r="I211" s="2"/>
    </row>
    <row r="212" spans="1:9" ht="27.75" hidden="1" customHeight="1">
      <c r="A212" s="2"/>
      <c r="B212" s="2"/>
      <c r="C212" s="2"/>
      <c r="D212" s="2"/>
      <c r="E212" s="2"/>
      <c r="F212" s="2"/>
      <c r="G212" s="2"/>
      <c r="H212" s="2"/>
      <c r="I212" s="2"/>
    </row>
    <row r="213" spans="1:9" ht="27.75" hidden="1" customHeight="1">
      <c r="A213" s="2"/>
      <c r="B213" s="2"/>
      <c r="C213" s="2"/>
      <c r="D213" s="2"/>
      <c r="E213" s="2"/>
      <c r="F213" s="2"/>
      <c r="G213" s="2"/>
      <c r="H213" s="2"/>
      <c r="I213" s="2"/>
    </row>
    <row r="214" spans="1:9" ht="27.75" hidden="1" customHeight="1">
      <c r="A214" s="2"/>
      <c r="B214" s="2"/>
      <c r="C214" s="2"/>
      <c r="D214" s="2"/>
      <c r="E214" s="2"/>
      <c r="F214" s="2"/>
      <c r="G214" s="2"/>
      <c r="H214" s="2"/>
      <c r="I214" s="2"/>
    </row>
    <row r="215" spans="1:9" ht="27.75" hidden="1" customHeight="1">
      <c r="A215" s="2"/>
      <c r="B215" s="2"/>
      <c r="C215" s="2"/>
      <c r="D215" s="2"/>
      <c r="E215" s="2"/>
      <c r="F215" s="2"/>
      <c r="G215" s="2"/>
      <c r="H215" s="2"/>
      <c r="I215" s="2"/>
    </row>
    <row r="216" spans="1:9" ht="27.75" hidden="1" customHeight="1">
      <c r="A216" s="2"/>
      <c r="B216" s="2"/>
      <c r="C216" s="2"/>
      <c r="D216" s="2"/>
      <c r="E216" s="2"/>
      <c r="F216" s="2"/>
      <c r="G216" s="2"/>
      <c r="H216" s="2"/>
      <c r="I216" s="2"/>
    </row>
    <row r="217" spans="1:9" ht="27.75" hidden="1" customHeight="1">
      <c r="A217" s="2"/>
      <c r="B217" s="2"/>
      <c r="C217" s="2"/>
      <c r="D217" s="2"/>
      <c r="E217" s="2"/>
      <c r="F217" s="2"/>
      <c r="G217" s="2"/>
      <c r="H217" s="2"/>
      <c r="I217" s="2"/>
    </row>
    <row r="218" spans="1:9" ht="27.75" hidden="1" customHeight="1">
      <c r="A218" s="2"/>
      <c r="B218" s="2"/>
      <c r="C218" s="2"/>
      <c r="D218" s="2"/>
      <c r="E218" s="2"/>
      <c r="F218" s="2"/>
      <c r="G218" s="2"/>
      <c r="H218" s="2"/>
      <c r="I218" s="2"/>
    </row>
    <row r="219" spans="1:9" ht="27.75" hidden="1" customHeight="1">
      <c r="A219" s="2"/>
      <c r="B219" s="2"/>
      <c r="C219" s="2"/>
      <c r="D219" s="2"/>
      <c r="E219" s="2"/>
      <c r="F219" s="2"/>
      <c r="G219" s="2"/>
      <c r="H219" s="2"/>
      <c r="I219" s="2"/>
    </row>
    <row r="220" spans="1:9" ht="27.75" hidden="1" customHeight="1">
      <c r="A220" s="2"/>
      <c r="B220" s="2"/>
      <c r="C220" s="2"/>
      <c r="D220" s="2"/>
      <c r="E220" s="2"/>
      <c r="F220" s="2"/>
      <c r="G220" s="2"/>
      <c r="H220" s="2"/>
      <c r="I220" s="2"/>
    </row>
    <row r="221" spans="1:9" ht="27.75" hidden="1" customHeight="1">
      <c r="A221" s="2"/>
      <c r="B221" s="2"/>
      <c r="C221" s="2"/>
      <c r="D221" s="2"/>
      <c r="E221" s="2"/>
      <c r="F221" s="2"/>
      <c r="G221" s="2"/>
      <c r="H221" s="2"/>
      <c r="I221" s="2"/>
    </row>
    <row r="222" spans="1:9" ht="27.75" hidden="1" customHeight="1">
      <c r="A222" s="2"/>
      <c r="B222" s="2"/>
      <c r="C222" s="2"/>
      <c r="D222" s="2"/>
      <c r="E222" s="2"/>
      <c r="F222" s="2"/>
      <c r="G222" s="2"/>
      <c r="H222" s="2"/>
      <c r="I222" s="2"/>
    </row>
    <row r="223" spans="1:9" ht="27.75" hidden="1" customHeight="1">
      <c r="A223" s="2"/>
      <c r="B223" s="2"/>
      <c r="C223" s="2"/>
      <c r="D223" s="2"/>
      <c r="E223" s="2"/>
      <c r="F223" s="2"/>
      <c r="G223" s="2"/>
      <c r="H223" s="2"/>
      <c r="I223" s="2"/>
    </row>
    <row r="224" spans="1:9" ht="27.75" hidden="1" customHeight="1">
      <c r="A224" s="2"/>
      <c r="B224" s="2"/>
      <c r="C224" s="2"/>
      <c r="D224" s="2"/>
      <c r="E224" s="2"/>
      <c r="F224" s="2"/>
      <c r="G224" s="2"/>
      <c r="H224" s="2"/>
      <c r="I224" s="2"/>
    </row>
    <row r="225" spans="1:9" ht="27.75" hidden="1" customHeight="1">
      <c r="A225" s="2"/>
      <c r="B225" s="2"/>
      <c r="C225" s="2"/>
      <c r="D225" s="2"/>
      <c r="E225" s="2"/>
      <c r="F225" s="2"/>
      <c r="G225" s="2"/>
      <c r="H225" s="2"/>
      <c r="I225" s="2"/>
    </row>
    <row r="226" spans="1:9" ht="27.75" hidden="1" customHeight="1">
      <c r="A226" s="2"/>
      <c r="B226" s="2"/>
      <c r="C226" s="2"/>
      <c r="D226" s="2"/>
      <c r="E226" s="2"/>
      <c r="F226" s="2"/>
      <c r="G226" s="2"/>
      <c r="H226" s="2"/>
      <c r="I226" s="2"/>
    </row>
    <row r="227" spans="1:9" ht="27.75" hidden="1" customHeight="1">
      <c r="A227" s="2"/>
      <c r="B227" s="2"/>
      <c r="C227" s="2"/>
      <c r="D227" s="2"/>
      <c r="E227" s="2"/>
      <c r="F227" s="2"/>
      <c r="G227" s="2"/>
      <c r="H227" s="2"/>
      <c r="I227" s="2"/>
    </row>
    <row r="228" spans="1:9" ht="27.75" hidden="1" customHeight="1">
      <c r="A228" s="2"/>
      <c r="B228" s="2"/>
      <c r="C228" s="2"/>
      <c r="D228" s="2"/>
      <c r="E228" s="2"/>
      <c r="F228" s="2"/>
      <c r="G228" s="2"/>
      <c r="H228" s="2"/>
      <c r="I228" s="2"/>
    </row>
    <row r="229" spans="1:9" ht="27.75" hidden="1" customHeight="1">
      <c r="A229" s="2"/>
      <c r="B229" s="2"/>
      <c r="C229" s="2"/>
      <c r="D229" s="2"/>
      <c r="E229" s="2"/>
      <c r="F229" s="2"/>
      <c r="G229" s="2"/>
      <c r="H229" s="2"/>
      <c r="I229" s="2"/>
    </row>
    <row r="230" spans="1:9" ht="27.75" hidden="1" customHeight="1">
      <c r="A230" s="2"/>
      <c r="B230" s="2"/>
      <c r="C230" s="2"/>
      <c r="D230" s="2"/>
      <c r="E230" s="2"/>
      <c r="F230" s="2"/>
      <c r="G230" s="2"/>
      <c r="H230" s="2"/>
      <c r="I230" s="2"/>
    </row>
    <row r="231" spans="1:9" ht="27.75" hidden="1" customHeight="1">
      <c r="A231" s="2"/>
      <c r="B231" s="2"/>
      <c r="C231" s="2"/>
      <c r="D231" s="2"/>
      <c r="E231" s="2"/>
      <c r="F231" s="2"/>
      <c r="G231" s="2"/>
      <c r="H231" s="2"/>
      <c r="I231" s="2"/>
    </row>
    <row r="232" spans="1:9" ht="27.75" hidden="1" customHeight="1">
      <c r="A232" s="290"/>
      <c r="B232" s="2"/>
      <c r="C232" s="2"/>
      <c r="D232" s="2"/>
      <c r="E232" s="2"/>
      <c r="F232" s="2"/>
      <c r="G232" s="2"/>
      <c r="H232" s="2"/>
      <c r="I232" s="2"/>
    </row>
    <row r="233" spans="1:9" ht="27.75" hidden="1" customHeight="1">
      <c r="A233" s="122"/>
      <c r="B233" s="290"/>
      <c r="C233" s="290"/>
      <c r="D233" s="290"/>
      <c r="E233" s="290"/>
      <c r="F233" s="290"/>
      <c r="G233" s="2"/>
      <c r="H233" s="2"/>
      <c r="I233" s="2"/>
    </row>
  </sheetData>
  <sheetProtection password="E044" sheet="1" objects="1" scenarios="1"/>
  <mergeCells count="54">
    <mergeCell ref="H75:H77"/>
    <mergeCell ref="B77:F77"/>
    <mergeCell ref="A75:F76"/>
    <mergeCell ref="H1:H2"/>
    <mergeCell ref="J35:K35"/>
    <mergeCell ref="H12:H15"/>
    <mergeCell ref="B54:B55"/>
    <mergeCell ref="B56:B57"/>
    <mergeCell ref="B60:B61"/>
    <mergeCell ref="B58:B59"/>
    <mergeCell ref="H19:H21"/>
    <mergeCell ref="A22:F22"/>
    <mergeCell ref="E50:F50"/>
    <mergeCell ref="H26:H37"/>
    <mergeCell ref="B52:B53"/>
    <mergeCell ref="F41:F44"/>
    <mergeCell ref="L35:M35"/>
    <mergeCell ref="J26:M27"/>
    <mergeCell ref="J30:L30"/>
    <mergeCell ref="J28:L28"/>
    <mergeCell ref="J31:L31"/>
    <mergeCell ref="J29:L29"/>
    <mergeCell ref="J32:M32"/>
    <mergeCell ref="J33:L33"/>
    <mergeCell ref="J34:L34"/>
    <mergeCell ref="A1:E2"/>
    <mergeCell ref="B4:C4"/>
    <mergeCell ref="B5:C5"/>
    <mergeCell ref="B6:F6"/>
    <mergeCell ref="E5:F5"/>
    <mergeCell ref="B8:C8"/>
    <mergeCell ref="B24:C24"/>
    <mergeCell ref="D24:F24"/>
    <mergeCell ref="D46:E48"/>
    <mergeCell ref="B9:C9"/>
    <mergeCell ref="E9:F9"/>
    <mergeCell ref="B10:F10"/>
    <mergeCell ref="A12:B12"/>
    <mergeCell ref="D12:E12"/>
    <mergeCell ref="D18:E18"/>
    <mergeCell ref="D17:E17"/>
    <mergeCell ref="A16:F16"/>
    <mergeCell ref="B14:F14"/>
    <mergeCell ref="A17:C17"/>
    <mergeCell ref="E13:F13"/>
    <mergeCell ref="A62:C62"/>
    <mergeCell ref="A64:C64"/>
    <mergeCell ref="A73:F73"/>
    <mergeCell ref="A74:F74"/>
    <mergeCell ref="A72:F72"/>
    <mergeCell ref="A71:C71"/>
    <mergeCell ref="A68:C68"/>
    <mergeCell ref="A69:C69"/>
    <mergeCell ref="A66:C66"/>
  </mergeCells>
  <conditionalFormatting sqref="D68:F71">
    <cfRule type="cellIs" dxfId="154" priority="413" operator="lessThanOrEqual">
      <formula>0</formula>
    </cfRule>
  </conditionalFormatting>
  <conditionalFormatting sqref="F1">
    <cfRule type="expression" dxfId="153" priority="396">
      <formula>$F$1&lt;&gt;""</formula>
    </cfRule>
  </conditionalFormatting>
  <conditionalFormatting sqref="D41:E48 F41 F45:F48 F51:F71 D24:F39">
    <cfRule type="expression" dxfId="152" priority="177">
      <formula>AND($C$12="non",$B$15="non")</formula>
    </cfRule>
  </conditionalFormatting>
  <conditionalFormatting sqref="E4 B4:C5 B8:C9 B10:F10 E8 B6:F6 E5:F5 E9:F9">
    <cfRule type="expression" dxfId="151" priority="384">
      <formula>$F$1&lt;&gt;""</formula>
    </cfRule>
  </conditionalFormatting>
  <conditionalFormatting sqref="B4:C5 B8:C9 B10:F10 E4 E8 E19 B44:C44 E44 F17 B6:F6 E5:F5 E9:F9">
    <cfRule type="expression" dxfId="150" priority="350">
      <formula>B4&lt;&gt;""</formula>
    </cfRule>
  </conditionalFormatting>
  <conditionalFormatting sqref="C12 F12 B7 B13 B15">
    <cfRule type="expression" dxfId="149" priority="211">
      <formula>$A$12&lt;&gt;""</formula>
    </cfRule>
    <cfRule type="expression" dxfId="148" priority="221">
      <formula>B7&lt;&gt;""</formula>
    </cfRule>
  </conditionalFormatting>
  <conditionalFormatting sqref="F12">
    <cfRule type="expression" dxfId="147" priority="108">
      <formula>AND(OR($B$7="non",AND($B$7="oui",$B$8&lt;&gt;"")),D12&lt;&gt;"")</formula>
    </cfRule>
    <cfRule type="expression" dxfId="146" priority="218">
      <formula>F12&lt;&gt;""</formula>
    </cfRule>
  </conditionalFormatting>
  <conditionalFormatting sqref="B13">
    <cfRule type="expression" dxfId="145" priority="215">
      <formula>A13&lt;&gt;""</formula>
    </cfRule>
    <cfRule type="expression" dxfId="144" priority="302">
      <formula>B13&lt;&gt;""</formula>
    </cfRule>
  </conditionalFormatting>
  <conditionalFormatting sqref="A13:B15 C15:F15 C13:D13">
    <cfRule type="expression" dxfId="143" priority="111">
      <formula>AND($B$7="oui",OR($C$12="",$F$12=""))</formula>
    </cfRule>
    <cfRule type="expression" dxfId="142" priority="182">
      <formula>$F$12="non"</formula>
    </cfRule>
  </conditionalFormatting>
  <conditionalFormatting sqref="A14:B14 C13:D13">
    <cfRule type="expression" dxfId="141" priority="571">
      <formula>OR($B$13="non",$B$13="")</formula>
    </cfRule>
  </conditionalFormatting>
  <conditionalFormatting sqref="C15:F15">
    <cfRule type="expression" dxfId="140" priority="363">
      <formula>OR($B$15="",$B$15="non")</formula>
    </cfRule>
  </conditionalFormatting>
  <conditionalFormatting sqref="B15">
    <cfRule type="expression" dxfId="139" priority="367">
      <formula>B15&lt;&gt;""</formula>
    </cfRule>
    <cfRule type="expression" dxfId="138" priority="570">
      <formula>A15&lt;&gt;""</formula>
    </cfRule>
  </conditionalFormatting>
  <conditionalFormatting sqref="D15">
    <cfRule type="expression" dxfId="137" priority="359">
      <formula>D15&lt;&gt;""</formula>
    </cfRule>
    <cfRule type="expression" dxfId="136" priority="360">
      <formula>C15&lt;&gt;""</formula>
    </cfRule>
  </conditionalFormatting>
  <conditionalFormatting sqref="F15">
    <cfRule type="expression" dxfId="135" priority="329">
      <formula>$G$15&lt;&gt;""</formula>
    </cfRule>
    <cfRule type="expression" dxfId="134" priority="357">
      <formula>F15&lt;&gt;""</formula>
    </cfRule>
    <cfRule type="expression" dxfId="133" priority="358">
      <formula>E15&lt;&gt;""</formula>
    </cfRule>
  </conditionalFormatting>
  <conditionalFormatting sqref="D26:E38">
    <cfRule type="expression" dxfId="132" priority="351">
      <formula>OR($C$12="oui",$B$15="oui")</formula>
    </cfRule>
  </conditionalFormatting>
  <conditionalFormatting sqref="B26:C38">
    <cfRule type="expression" dxfId="131" priority="456">
      <formula>OR($B$7="non",AND($B$7="oui",$C$12="non"))</formula>
    </cfRule>
  </conditionalFormatting>
  <conditionalFormatting sqref="F24:F41 F45:F48 F51:F71 D24:E48">
    <cfRule type="expression" dxfId="130" priority="122">
      <formula>AND($C$12="non",$F$12="non")</formula>
    </cfRule>
  </conditionalFormatting>
  <conditionalFormatting sqref="D12:F12 H12 A13:B13">
    <cfRule type="expression" dxfId="129" priority="104">
      <formula>$H$12="Vérifiez votre saisie"</formula>
    </cfRule>
  </conditionalFormatting>
  <conditionalFormatting sqref="A72:F74 B41:E48 F41 F45:F48 D51:F71 B24:F39">
    <cfRule type="expression" dxfId="128" priority="120">
      <formula>$H$12="vérifiez votre saisie"</formula>
    </cfRule>
  </conditionalFormatting>
  <conditionalFormatting sqref="C25:C39 C41:E48 F41 F45:F48 E51:F71 C13:D13 D24:F39 B7 C12:F12 A12:B15 C15:F15">
    <cfRule type="expression" dxfId="127" priority="314">
      <formula>$B$8=""</formula>
    </cfRule>
  </conditionalFormatting>
  <conditionalFormatting sqref="F41 F45 A12:C12 C41:E45 C28:F39 B7 B13 D27:E37 E57:F67">
    <cfRule type="expression" dxfId="126" priority="121">
      <formula>B2="non"</formula>
    </cfRule>
  </conditionalFormatting>
  <conditionalFormatting sqref="B7">
    <cfRule type="expression" dxfId="125" priority="94">
      <formula>$B$7&lt;&gt;""</formula>
    </cfRule>
    <cfRule type="expression" dxfId="124" priority="130">
      <formula>$A$7&lt;&gt;""</formula>
    </cfRule>
  </conditionalFormatting>
  <conditionalFormatting sqref="D12:F12">
    <cfRule type="expression" dxfId="123" priority="190">
      <formula>$B$7="non"</formula>
    </cfRule>
  </conditionalFormatting>
  <conditionalFormatting sqref="A13:B13">
    <cfRule type="expression" dxfId="122" priority="303">
      <formula>AND($B$7="non",$F$12="oui")</formula>
    </cfRule>
  </conditionalFormatting>
  <conditionalFormatting sqref="D12:F12 A13:B13">
    <cfRule type="expression" dxfId="121" priority="101">
      <formula>$H$12="vérifiez votre saisie"</formula>
    </cfRule>
  </conditionalFormatting>
  <conditionalFormatting sqref="C46:F47 E68:F69">
    <cfRule type="expression" dxfId="120" priority="415">
      <formula>D39="non"</formula>
    </cfRule>
  </conditionalFormatting>
  <conditionalFormatting sqref="C25:F25">
    <cfRule type="expression" dxfId="119" priority="453">
      <formula>D15="non"</formula>
    </cfRule>
  </conditionalFormatting>
  <conditionalFormatting sqref="F27 C27">
    <cfRule type="expression" dxfId="118" priority="455">
      <formula>D16="non"</formula>
    </cfRule>
  </conditionalFormatting>
  <conditionalFormatting sqref="E19">
    <cfRule type="expression" dxfId="117" priority="284">
      <formula>D19&lt;&gt;""</formula>
    </cfRule>
  </conditionalFormatting>
  <conditionalFormatting sqref="E20:E21">
    <cfRule type="expression" dxfId="116" priority="282">
      <formula>D20&lt;&gt;""</formula>
    </cfRule>
    <cfRule type="expression" dxfId="115" priority="283">
      <formula>E20&lt;&gt;""</formula>
    </cfRule>
  </conditionalFormatting>
  <conditionalFormatting sqref="F17">
    <cfRule type="expression" dxfId="114" priority="209">
      <formula>$F$17&lt;&gt;""</formula>
    </cfRule>
  </conditionalFormatting>
  <conditionalFormatting sqref="B44">
    <cfRule type="expression" dxfId="113" priority="382">
      <formula>$B$41=""</formula>
    </cfRule>
    <cfRule type="expression" dxfId="112" priority="399">
      <formula>$B$44=""</formula>
    </cfRule>
  </conditionalFormatting>
  <conditionalFormatting sqref="C44">
    <cfRule type="expression" dxfId="111" priority="366">
      <formula>$C$41=""</formula>
    </cfRule>
    <cfRule type="expression" dxfId="110" priority="370">
      <formula>C44=""</formula>
    </cfRule>
  </conditionalFormatting>
  <conditionalFormatting sqref="D44">
    <cfRule type="expression" dxfId="109" priority="362">
      <formula>$D$41=""</formula>
    </cfRule>
    <cfRule type="expression" dxfId="108" priority="410">
      <formula>$D$44=""</formula>
    </cfRule>
  </conditionalFormatting>
  <conditionalFormatting sqref="E44">
    <cfRule type="expression" dxfId="107" priority="319">
      <formula>$E$41=""</formula>
    </cfRule>
    <cfRule type="expression" dxfId="106" priority="369">
      <formula>$E$44=""</formula>
    </cfRule>
  </conditionalFormatting>
  <conditionalFormatting sqref="F17">
    <cfRule type="expression" dxfId="105" priority="222">
      <formula>D17&lt;&gt;""</formula>
    </cfRule>
  </conditionalFormatting>
  <conditionalFormatting sqref="B21 A18:C20">
    <cfRule type="expression" dxfId="104" priority="207">
      <formula>OR($B$7="non",AND($B$7="oui",$C$12="oui"),AND($B$7="oui",$C$12="non",$F$12="oui",$B$15="oui"))</formula>
    </cfRule>
  </conditionalFormatting>
  <conditionalFormatting sqref="D18:F21">
    <cfRule type="expression" dxfId="103" priority="206">
      <formula>$F$17=0</formula>
    </cfRule>
  </conditionalFormatting>
  <conditionalFormatting sqref="B19">
    <cfRule type="expression" dxfId="102" priority="203">
      <formula>$B$19&lt;&gt;""</formula>
    </cfRule>
    <cfRule type="expression" dxfId="101" priority="204">
      <formula>$A$19&lt;&gt;""</formula>
    </cfRule>
  </conditionalFormatting>
  <conditionalFormatting sqref="B20">
    <cfRule type="expression" dxfId="100" priority="201">
      <formula>$B$20&lt;&gt;""</formula>
    </cfRule>
    <cfRule type="expression" dxfId="99" priority="202">
      <formula>$A$20&lt;&gt;""</formula>
    </cfRule>
  </conditionalFormatting>
  <conditionalFormatting sqref="C19">
    <cfRule type="expression" dxfId="98" priority="199">
      <formula>$C$19&lt;&gt;""</formula>
    </cfRule>
    <cfRule type="expression" dxfId="97" priority="200">
      <formula>AND($A$19&lt;&gt;"",$B$7="oui")</formula>
    </cfRule>
  </conditionalFormatting>
  <conditionalFormatting sqref="C20">
    <cfRule type="expression" dxfId="96" priority="197">
      <formula>$C$20&lt;&gt;""</formula>
    </cfRule>
    <cfRule type="expression" dxfId="95" priority="198">
      <formula>AND($A$20&lt;&gt;"",$B$7="oui")</formula>
    </cfRule>
  </conditionalFormatting>
  <conditionalFormatting sqref="E52:F54">
    <cfRule type="expression" dxfId="94" priority="521">
      <formula>F49="non"</formula>
    </cfRule>
  </conditionalFormatting>
  <conditionalFormatting sqref="B21">
    <cfRule type="expression" dxfId="93" priority="173">
      <formula>$B$21&lt;&gt;""</formula>
    </cfRule>
    <cfRule type="expression" dxfId="92" priority="188">
      <formula>$A$21&lt;&gt;""</formula>
    </cfRule>
  </conditionalFormatting>
  <conditionalFormatting sqref="C21">
    <cfRule type="expression" dxfId="91" priority="189">
      <formula>$B$7="non"</formula>
    </cfRule>
    <cfRule type="expression" dxfId="90" priority="193">
      <formula>OR($B$7="non",AND($B$7="oui",$C$12="oui"),AND($B$7="oui",$C$12="non",$F$12="oui",$B$15="oui"))</formula>
    </cfRule>
  </conditionalFormatting>
  <conditionalFormatting sqref="C21">
    <cfRule type="expression" dxfId="89" priority="191">
      <formula>$C$21&lt;&gt;""</formula>
    </cfRule>
    <cfRule type="expression" dxfId="88" priority="192">
      <formula>$A$21&lt;&gt;""</formula>
    </cfRule>
  </conditionalFormatting>
  <conditionalFormatting sqref="A17:F21">
    <cfRule type="expression" dxfId="87" priority="115">
      <formula>AND($B$7="oui",OR($B$8="",$B$9="",$B$10="",$E$8="",$H$8="Le Déclarant 2 est mineur, vérifiez votre saisie!",$C$12="",$F$12=""))</formula>
    </cfRule>
    <cfRule type="expression" dxfId="86" priority="195">
      <formula>$B$7=""</formula>
    </cfRule>
  </conditionalFormatting>
  <conditionalFormatting sqref="B18:C18">
    <cfRule type="expression" dxfId="85" priority="187">
      <formula>AND($B$7="oui",OR($C$12="oui",AND($C$12="non",$F$12="oui",$B$15="oui")))</formula>
    </cfRule>
  </conditionalFormatting>
  <conditionalFormatting sqref="A73:F73">
    <cfRule type="expression" dxfId="84" priority="527">
      <formula>OR($D$70&gt;0,$F$70&gt;0)</formula>
    </cfRule>
  </conditionalFormatting>
  <conditionalFormatting sqref="A74:F74">
    <cfRule type="expression" dxfId="83" priority="528">
      <formula>$E$70&gt;0</formula>
    </cfRule>
  </conditionalFormatting>
  <conditionalFormatting sqref="B63">
    <cfRule type="expression" dxfId="82" priority="186">
      <formula>$B$63=0</formula>
    </cfRule>
  </conditionalFormatting>
  <conditionalFormatting sqref="D69">
    <cfRule type="expression" dxfId="81" priority="185">
      <formula>$D$69&lt;&gt;""</formula>
    </cfRule>
    <cfRule type="expression" dxfId="80" priority="217">
      <formula>$A$69="Saisir le montant : Déductions / Crédit Impots"</formula>
    </cfRule>
  </conditionalFormatting>
  <conditionalFormatting sqref="E69">
    <cfRule type="expression" dxfId="79" priority="318">
      <formula>$E$69&lt;&gt;""</formula>
    </cfRule>
    <cfRule type="expression" dxfId="78" priority="365">
      <formula>$A$69="Saisir le montant : Déductions / Crédit Impots"</formula>
    </cfRule>
  </conditionalFormatting>
  <conditionalFormatting sqref="F69">
    <cfRule type="expression" dxfId="77" priority="220">
      <formula>$F$69&lt;&gt;""</formula>
    </cfRule>
    <cfRule type="expression" dxfId="76" priority="361">
      <formula>$A$69="Saisir le montant : Déductions / Crédit Impots"</formula>
    </cfRule>
  </conditionalFormatting>
  <conditionalFormatting sqref="A8:F10">
    <cfRule type="expression" dxfId="75" priority="178">
      <formula>OR($B$7="non",$B$7="")</formula>
    </cfRule>
  </conditionalFormatting>
  <conditionalFormatting sqref="B24:C48 D51:E71">
    <cfRule type="expression" dxfId="74" priority="123">
      <formula>OR($C$12="oui",$B$15="oui")</formula>
    </cfRule>
  </conditionalFormatting>
  <conditionalFormatting sqref="A22">
    <cfRule type="expression" dxfId="73" priority="170">
      <formula>AND(B7="oui",B8&lt;&gt;"",C12="non",OR(B38="",C38=""))</formula>
    </cfRule>
    <cfRule type="expression" dxfId="72" priority="172">
      <formula>AND(B7="non",B38="")</formula>
    </cfRule>
    <cfRule type="expression" dxfId="71" priority="174">
      <formula>AND(B7="oui",B8&lt;&gt;"",C12="oui",OR(D38="",E38=""))</formula>
    </cfRule>
  </conditionalFormatting>
  <conditionalFormatting sqref="A15:F15">
    <cfRule type="expression" dxfId="70" priority="99">
      <formula>$C$12="oui"</formula>
    </cfRule>
  </conditionalFormatting>
  <conditionalFormatting sqref="A22:F22">
    <cfRule type="expression" dxfId="69" priority="175">
      <formula>OR($D$38&lt;&gt;"",$E$38&lt;&gt;"",$C$38&lt;&gt;"",$B$38&lt;&gt;"")</formula>
    </cfRule>
    <cfRule type="expression" dxfId="68" priority="176">
      <formula>$H$12&lt;&gt;""</formula>
    </cfRule>
  </conditionalFormatting>
  <conditionalFormatting sqref="D65:D67">
    <cfRule type="expression" dxfId="67" priority="139">
      <formula>$D$65="Non Eligible"</formula>
    </cfRule>
  </conditionalFormatting>
  <conditionalFormatting sqref="E65:E67">
    <cfRule type="expression" dxfId="66" priority="138">
      <formula>$E$65="Non Eligible"</formula>
    </cfRule>
  </conditionalFormatting>
  <conditionalFormatting sqref="F65:F67">
    <cfRule type="expression" dxfId="65" priority="137">
      <formula>$F$65="Non Eligible"</formula>
    </cfRule>
  </conditionalFormatting>
  <conditionalFormatting sqref="A14 C13">
    <cfRule type="expression" dxfId="64" priority="129">
      <formula>$B$13="oui"</formula>
    </cfRule>
  </conditionalFormatting>
  <conditionalFormatting sqref="A15:B15">
    <cfRule type="expression" dxfId="63" priority="68">
      <formula>$H$12&lt;&gt;""</formula>
    </cfRule>
    <cfRule type="expression" dxfId="62" priority="124">
      <formula>AND($B$7="non",$F$12="oui",$B$13="non",$H$12&lt;&gt;"")</formula>
    </cfRule>
  </conditionalFormatting>
  <conditionalFormatting sqref="E4:F4 H4">
    <cfRule type="expression" dxfId="61" priority="126">
      <formula>$H$4&lt;&gt;""</formula>
    </cfRule>
  </conditionalFormatting>
  <conditionalFormatting sqref="E8:F8 H8">
    <cfRule type="expression" dxfId="60" priority="125">
      <formula>$H$8&lt;&gt;""</formula>
    </cfRule>
  </conditionalFormatting>
  <conditionalFormatting sqref="A24:F74">
    <cfRule type="expression" dxfId="59" priority="116">
      <formula>OR($F$1="",$B$4="",$B$5="",$B$6="",$E$4="",$H$4&lt;&gt;"",$B$7="")</formula>
    </cfRule>
  </conditionalFormatting>
  <conditionalFormatting sqref="A22:F74">
    <cfRule type="expression" dxfId="58" priority="119">
      <formula>OR(AND($B$7="oui",OR($C$12="",$F$12="")),AND($B$7="non",$F$12=""))</formula>
    </cfRule>
  </conditionalFormatting>
  <conditionalFormatting sqref="A17:F74">
    <cfRule type="expression" dxfId="57" priority="82">
      <formula>AND($B$7="oui",$C$12="non",$F$12="oui",$B$15="")</formula>
    </cfRule>
    <cfRule type="expression" dxfId="56" priority="180">
      <formula>$H$12&lt;&gt;""</formula>
    </cfRule>
  </conditionalFormatting>
  <conditionalFormatting sqref="A4:F6">
    <cfRule type="expression" dxfId="55" priority="114">
      <formula>$F$1=""</formula>
    </cfRule>
  </conditionalFormatting>
  <conditionalFormatting sqref="F12">
    <cfRule type="expression" dxfId="54" priority="212">
      <formula>G7="non"</formula>
    </cfRule>
  </conditionalFormatting>
  <conditionalFormatting sqref="F12">
    <cfRule type="expression" dxfId="53" priority="194">
      <formula>G7="non"</formula>
    </cfRule>
  </conditionalFormatting>
  <conditionalFormatting sqref="A15:F15">
    <cfRule type="expression" dxfId="52" priority="100">
      <formula>B9="non"</formula>
    </cfRule>
  </conditionalFormatting>
  <conditionalFormatting sqref="F24">
    <cfRule type="expression" dxfId="51" priority="536">
      <formula>G13="non"</formula>
    </cfRule>
  </conditionalFormatting>
  <conditionalFormatting sqref="B14 D13">
    <cfRule type="expression" dxfId="50" priority="305">
      <formula>B13&lt;&gt;""</formula>
    </cfRule>
    <cfRule type="expression" dxfId="49" priority="306">
      <formula>A13&lt;&gt;""</formula>
    </cfRule>
  </conditionalFormatting>
  <conditionalFormatting sqref="D24:E24">
    <cfRule type="expression" dxfId="48" priority="740">
      <formula>C14="non"</formula>
    </cfRule>
  </conditionalFormatting>
  <conditionalFormatting sqref="D26:E37">
    <cfRule type="expression" dxfId="47" priority="81">
      <formula>AND($C$12="non",$B$14="non")</formula>
    </cfRule>
  </conditionalFormatting>
  <conditionalFormatting sqref="D26:E37">
    <cfRule type="expression" dxfId="46" priority="372">
      <formula>OR($C$12="oui",$B$14="oui")</formula>
    </cfRule>
  </conditionalFormatting>
  <conditionalFormatting sqref="A1:E2">
    <cfRule type="expression" dxfId="45" priority="71">
      <formula>$F$1=""</formula>
    </cfRule>
  </conditionalFormatting>
  <conditionalFormatting sqref="H19:H21">
    <cfRule type="expression" dxfId="44" priority="69">
      <formula>$H$19&lt;&gt;""</formula>
    </cfRule>
  </conditionalFormatting>
  <conditionalFormatting sqref="E19:E21 F17">
    <cfRule type="expression" dxfId="43" priority="205">
      <formula>$H$19="Incohérence entre le nombre d'enfants à charge fiscalement et le nombre d'enfants scolarisés"</formula>
    </cfRule>
  </conditionalFormatting>
  <conditionalFormatting sqref="B18 A19:A20">
    <cfRule type="expression" dxfId="42" priority="67">
      <formula>$B$7="non"</formula>
    </cfRule>
  </conditionalFormatting>
  <conditionalFormatting sqref="F17 B19:C20">
    <cfRule type="expression" dxfId="41" priority="66">
      <formula>$H$19="Incohérence sur le nombre repris d'enfants à charge fiscalement"</formula>
    </cfRule>
  </conditionalFormatting>
  <conditionalFormatting sqref="H62">
    <cfRule type="expression" dxfId="40" priority="10">
      <formula>$H$62&lt;&gt;""</formula>
    </cfRule>
  </conditionalFormatting>
  <conditionalFormatting sqref="E70:F71">
    <cfRule type="expression" dxfId="39" priority="743">
      <formula>F61="non"</formula>
    </cfRule>
  </conditionalFormatting>
  <dataValidations count="2">
    <dataValidation type="list" allowBlank="1" showInputMessage="1" showErrorMessage="1" sqref="C12 B15 B13 B7 F12">
      <formula1>"Oui,Non"</formula1>
    </dataValidation>
    <dataValidation type="list" allowBlank="1" showInputMessage="1" showErrorMessage="1" sqref="D15">
      <formula1>"PACS,Mariage"</formula1>
    </dataValidation>
  </dataValidations>
  <hyperlinks>
    <hyperlink ref="H42" location="'Frais Réels - détails'!A1" display="'Frais Réels - détails'!A1"/>
    <hyperlink ref="A75" location="'simul impots'!A1" display="Retour Haut de Page"/>
    <hyperlink ref="A233" location="'simul impots'!A1" display="Retour Haut de Page"/>
    <hyperlink ref="A77" location="Admin!A1" display="Accès partie masquée"/>
    <hyperlink ref="H74" r:id="rId1" display="http://www.impots.gouv.fr/portal/dgi/public/popup?espId=1&amp;typePage=cpr02&amp;docOid=documentstandard_1407"/>
  </hyperlinks>
  <pageMargins left="0.70866141732283472" right="0.70866141732283472" top="0.19685039370078741" bottom="0.19685039370078741" header="0.31496062992125984" footer="0.31496062992125984"/>
  <pageSetup paperSize="9" scale="56" orientation="portrait" horizontalDpi="300" verticalDpi="300" r:id="rId2"/>
  <ignoredErrors>
    <ignoredError sqref="A27 D55:F55 D57:F57 F59" formula="1"/>
    <ignoredError sqref="B45 D45:E45" unlockedFormula="1"/>
    <ignoredError sqref="F26:F38" formulaRange="1"/>
  </ignoredErrors>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V75"/>
  <sheetViews>
    <sheetView showGridLines="0" showRowColHeaders="0" zoomScale="90" zoomScaleNormal="90" workbookViewId="0">
      <selection sqref="A1:T1"/>
    </sheetView>
  </sheetViews>
  <sheetFormatPr baseColWidth="10" defaultColWidth="0" defaultRowHeight="15" zeroHeight="1"/>
  <cols>
    <col min="1" max="2" width="11.42578125" style="2" customWidth="1"/>
    <col min="3" max="3" width="13.28515625" style="2" bestFit="1" customWidth="1"/>
    <col min="4" max="4" width="12.7109375" style="2" customWidth="1"/>
    <col min="5" max="5" width="8.7109375" style="2" customWidth="1"/>
    <col min="6" max="6" width="19.85546875" style="2" customWidth="1"/>
    <col min="7" max="8" width="11.5703125" style="2" bestFit="1" customWidth="1"/>
    <col min="9" max="10" width="11.42578125" style="2" customWidth="1"/>
    <col min="11" max="11" width="13.42578125" style="2" customWidth="1"/>
    <col min="12" max="12" width="11.42578125" style="2" customWidth="1"/>
    <col min="13" max="13" width="13.28515625" style="2" bestFit="1" customWidth="1"/>
    <col min="14" max="14" width="12.7109375" style="2" customWidth="1"/>
    <col min="15" max="15" width="8.5703125" style="2" customWidth="1"/>
    <col min="16" max="16" width="19.85546875" style="2" customWidth="1"/>
    <col min="17" max="17" width="14.85546875" style="2" customWidth="1"/>
    <col min="18" max="18" width="11.5703125" style="2" bestFit="1" customWidth="1"/>
    <col min="19" max="20" width="11.42578125" style="2" customWidth="1"/>
    <col min="21" max="21" width="0.85546875" style="2" customWidth="1"/>
    <col min="22" max="22" width="0" style="2" hidden="1" customWidth="1"/>
    <col min="23" max="16384" width="11.42578125" style="2" hidden="1"/>
  </cols>
  <sheetData>
    <row r="1" spans="1:22" ht="48" customHeight="1" thickBot="1">
      <c r="A1" s="633" t="str">
        <f>"Détails de vos frais réels réalisés en "&amp;'simul impots'!F1</f>
        <v xml:space="preserve">Détails de vos frais réels réalisés en </v>
      </c>
      <c r="B1" s="634"/>
      <c r="C1" s="634"/>
      <c r="D1" s="634"/>
      <c r="E1" s="634"/>
      <c r="F1" s="634"/>
      <c r="G1" s="634"/>
      <c r="H1" s="634"/>
      <c r="I1" s="634"/>
      <c r="J1" s="634"/>
      <c r="K1" s="634"/>
      <c r="L1" s="634"/>
      <c r="M1" s="634"/>
      <c r="N1" s="634"/>
      <c r="O1" s="634"/>
      <c r="P1" s="634"/>
      <c r="Q1" s="634"/>
      <c r="R1" s="634"/>
      <c r="S1" s="634"/>
      <c r="T1" s="635"/>
    </row>
    <row r="2" spans="1:22" ht="16.5" thickBot="1">
      <c r="A2" s="642" t="s">
        <v>223</v>
      </c>
      <c r="B2" s="642"/>
      <c r="C2" s="642"/>
      <c r="D2" s="642"/>
      <c r="E2" s="642"/>
      <c r="F2" s="642"/>
      <c r="G2" s="642"/>
      <c r="H2" s="642"/>
      <c r="I2" s="642"/>
      <c r="J2" s="642"/>
      <c r="K2" s="642"/>
      <c r="L2" s="642"/>
      <c r="M2" s="642"/>
      <c r="N2" s="642"/>
      <c r="O2" s="642"/>
      <c r="P2" s="642"/>
      <c r="Q2" s="642"/>
      <c r="R2" s="642"/>
      <c r="S2" s="642"/>
      <c r="T2" s="642"/>
    </row>
    <row r="3" spans="1:22" ht="16.5" thickBot="1">
      <c r="A3" s="242" t="str">
        <f>'simul impots'!A3</f>
        <v/>
      </c>
      <c r="B3" s="243" t="str">
        <f>IF('simul impots'!B4="","",'simul impots'!B4)</f>
        <v/>
      </c>
      <c r="C3" s="244" t="str">
        <f>IF('simul impots'!B5="","",'simul impots'!B5)</f>
        <v/>
      </c>
      <c r="D3" s="245" t="str">
        <f>IF('simul impots'!E4="","",'simul impots'!E4)</f>
        <v/>
      </c>
      <c r="E3" s="244" t="str">
        <f>IF('simul impots'!F4="","","("&amp;'simul impots'!F4&amp;" ans)")</f>
        <v/>
      </c>
      <c r="F3" s="636" t="str">
        <f>IF('simul impots'!E5="","","N° Fiscal: "&amp;'simul impots'!E5)</f>
        <v/>
      </c>
      <c r="G3" s="636"/>
      <c r="H3" s="246"/>
      <c r="I3" s="247"/>
      <c r="J3" s="248"/>
      <c r="K3" s="249" t="str">
        <f>IF('simul impots'!B7&lt;&gt;"oui","",'simul impots'!A7)</f>
        <v/>
      </c>
      <c r="L3" s="250" t="str">
        <f>IF('simul impots'!B8="","",'simul impots'!B8)</f>
        <v/>
      </c>
      <c r="M3" s="249" t="str">
        <f>IF('simul impots'!B9="","",'simul impots'!B9)</f>
        <v/>
      </c>
      <c r="N3" s="251" t="str">
        <f>IF('simul impots'!E8="","",'simul impots'!E8)</f>
        <v/>
      </c>
      <c r="O3" s="249" t="str">
        <f>IF('simul impots'!F8="","","("&amp;'simul impots'!F8&amp;" ans)")</f>
        <v/>
      </c>
      <c r="P3" s="637" t="str">
        <f>IF('simul impots'!E9="","","N° Fiscal: "&amp;'simul impots'!E9)</f>
        <v/>
      </c>
      <c r="Q3" s="637"/>
      <c r="R3" s="252"/>
      <c r="S3" s="252"/>
      <c r="T3" s="253"/>
    </row>
    <row r="4" spans="1:22">
      <c r="A4" s="569"/>
      <c r="B4" s="581"/>
      <c r="C4" s="581"/>
      <c r="D4" s="581"/>
      <c r="E4" s="581"/>
      <c r="F4" s="581"/>
      <c r="G4" s="581"/>
      <c r="H4" s="581"/>
      <c r="I4" s="581"/>
      <c r="J4" s="582"/>
      <c r="K4" s="224"/>
      <c r="L4" s="224"/>
      <c r="M4" s="224"/>
      <c r="N4" s="224"/>
      <c r="O4" s="224"/>
      <c r="P4" s="224"/>
      <c r="Q4" s="224"/>
      <c r="R4" s="224"/>
      <c r="S4" s="224"/>
      <c r="T4" s="225"/>
    </row>
    <row r="5" spans="1:22">
      <c r="A5" s="575" t="s">
        <v>33</v>
      </c>
      <c r="B5" s="573"/>
      <c r="C5" s="234" t="s">
        <v>68</v>
      </c>
      <c r="D5" s="640">
        <f>'simul impots'!B6</f>
        <v>0</v>
      </c>
      <c r="E5" s="640"/>
      <c r="F5" s="640"/>
      <c r="G5" s="640"/>
      <c r="H5" s="640"/>
      <c r="I5" s="640"/>
      <c r="J5" s="641"/>
      <c r="K5" s="573" t="s">
        <v>33</v>
      </c>
      <c r="L5" s="573"/>
      <c r="M5" s="234" t="str">
        <f>C5</f>
        <v>au 1er Janvier</v>
      </c>
      <c r="N5" s="640">
        <f>'simul impots'!B10</f>
        <v>0</v>
      </c>
      <c r="O5" s="640"/>
      <c r="P5" s="640"/>
      <c r="Q5" s="640"/>
      <c r="R5" s="640"/>
      <c r="S5" s="640"/>
      <c r="T5" s="641"/>
      <c r="V5" s="8"/>
    </row>
    <row r="6" spans="1:22">
      <c r="A6" s="575" t="str">
        <f>IF('simul impots'!B13="oui","Adresse DOMICILE :","")</f>
        <v/>
      </c>
      <c r="B6" s="573"/>
      <c r="C6" s="262" t="str">
        <f>IF('simul impots'!B13="oui","au "&amp;TEXT('simul impots'!D13,"JJ-MM-AAA"),"")</f>
        <v/>
      </c>
      <c r="D6" s="259" t="str">
        <f>IF('simul impots'!B13="oui",'simul impots'!B14,"")</f>
        <v/>
      </c>
      <c r="E6" s="259"/>
      <c r="F6" s="259"/>
      <c r="G6" s="259"/>
      <c r="H6" s="259"/>
      <c r="I6" s="259"/>
      <c r="J6" s="263"/>
      <c r="K6" s="573" t="str">
        <f>IF('simul impots'!B13="oui","Adresse DOMICILE :","")</f>
        <v/>
      </c>
      <c r="L6" s="573"/>
      <c r="M6" s="262" t="str">
        <f>IF('simul impots'!B13="oui","au "&amp;TEXT('simul impots'!D13,"JJ-MM-AAAA"),"")</f>
        <v/>
      </c>
      <c r="N6" s="640" t="str">
        <f>IF('simul impots'!B13="oui",'simul impots'!B14,"")</f>
        <v/>
      </c>
      <c r="O6" s="640"/>
      <c r="P6" s="640"/>
      <c r="Q6" s="640"/>
      <c r="R6" s="640"/>
      <c r="S6" s="640"/>
      <c r="T6" s="641"/>
      <c r="V6" s="8"/>
    </row>
    <row r="7" spans="1:22">
      <c r="A7" s="575" t="s">
        <v>34</v>
      </c>
      <c r="B7" s="573"/>
      <c r="C7" s="643"/>
      <c r="D7" s="643"/>
      <c r="E7" s="643"/>
      <c r="F7" s="643"/>
      <c r="G7" s="643"/>
      <c r="H7" s="643"/>
      <c r="I7" s="643"/>
      <c r="J7" s="644"/>
      <c r="K7" s="573" t="s">
        <v>34</v>
      </c>
      <c r="L7" s="573"/>
      <c r="M7" s="638"/>
      <c r="N7" s="638"/>
      <c r="O7" s="638"/>
      <c r="P7" s="638"/>
      <c r="Q7" s="638"/>
      <c r="R7" s="638"/>
      <c r="S7" s="638"/>
      <c r="T7" s="639"/>
    </row>
    <row r="8" spans="1:22">
      <c r="A8" s="563"/>
      <c r="B8" s="564"/>
      <c r="C8" s="564"/>
      <c r="D8" s="564"/>
      <c r="E8" s="564"/>
      <c r="F8" s="564"/>
      <c r="G8" s="564"/>
      <c r="H8" s="564"/>
      <c r="I8" s="564"/>
      <c r="J8" s="565"/>
      <c r="K8" s="563"/>
      <c r="L8" s="564"/>
      <c r="M8" s="564"/>
      <c r="N8" s="564"/>
      <c r="O8" s="564"/>
      <c r="P8" s="564"/>
      <c r="Q8" s="564"/>
      <c r="R8" s="564"/>
      <c r="S8" s="564"/>
      <c r="T8" s="565"/>
    </row>
    <row r="9" spans="1:22">
      <c r="A9" s="570" t="str">
        <f>IF(OR('simul impots'!B13="non",'simul impots'!F12="non"),"Du 1er Janvier "&amp;'simul impots'!F1&amp;" au 31 Décembre "&amp;'simul impots'!F1,IF('simul impots'!B13="oui","Du 1er Janvier "&amp;'simul impots'!F1&amp;" au "&amp;TEXT('simul impots'!D13,"JJ-MM-AAAA"),""))</f>
        <v/>
      </c>
      <c r="B9" s="571"/>
      <c r="C9" s="571"/>
      <c r="D9" s="571"/>
      <c r="E9" s="571"/>
      <c r="F9" s="571"/>
      <c r="G9" s="571"/>
      <c r="H9" s="571"/>
      <c r="I9" s="571"/>
      <c r="J9" s="572"/>
      <c r="K9" s="570" t="str">
        <f>IF(AND('simul impots'!B7="oui",OR('simul impots'!B13="non",'simul impots'!F12="non")),"Du 1er Janvier "&amp;'simul impots'!F1&amp;" au 31 Décembre "&amp;'simul impots'!F1,IF('simul impots'!B13="oui","Du 1er Janvier "&amp;'simul impots'!F1&amp;" au "&amp;TEXT('simul impots'!D13,"JJ-MM-AAAA"),""))</f>
        <v/>
      </c>
      <c r="L9" s="571"/>
      <c r="M9" s="571"/>
      <c r="N9" s="571"/>
      <c r="O9" s="571"/>
      <c r="P9" s="571"/>
      <c r="Q9" s="571"/>
      <c r="R9" s="571"/>
      <c r="S9" s="571"/>
      <c r="T9" s="572"/>
    </row>
    <row r="10" spans="1:22">
      <c r="A10" s="575" t="s">
        <v>35</v>
      </c>
      <c r="B10" s="573"/>
      <c r="C10" s="212"/>
      <c r="D10" s="574" t="s">
        <v>37</v>
      </c>
      <c r="E10" s="574"/>
      <c r="F10" s="574"/>
      <c r="G10" s="209">
        <f>IF(A11="",C10*2,IF(A11&lt;&gt;"",IF(G11="non",40*2,IF(G11="oui",C10*2,0))))</f>
        <v>0</v>
      </c>
      <c r="H10" s="11"/>
      <c r="I10" s="11"/>
      <c r="J10" s="208"/>
      <c r="K10" s="573" t="s">
        <v>35</v>
      </c>
      <c r="L10" s="573"/>
      <c r="M10" s="212"/>
      <c r="N10" s="574" t="s">
        <v>37</v>
      </c>
      <c r="O10" s="574"/>
      <c r="P10" s="574"/>
      <c r="Q10" s="209">
        <f>IF(K11="",M10*2,IF(K11&lt;&gt;"",IF(Q11="non",40*2,IF(Q11="oui",M10*2,0))))</f>
        <v>0</v>
      </c>
      <c r="R10" s="11"/>
      <c r="S10" s="11"/>
      <c r="T10" s="208"/>
    </row>
    <row r="11" spans="1:22">
      <c r="A11" s="576" t="str">
        <f>IF(C10&gt;40,"La distance maximale déductible est atteinte","")</f>
        <v/>
      </c>
      <c r="B11" s="577"/>
      <c r="C11" s="577"/>
      <c r="D11" s="220" t="str">
        <f>IF(A11&lt;&gt;"","Infos ICI","")</f>
        <v/>
      </c>
      <c r="E11" s="578" t="str">
        <f>IF(A11&lt;&gt;"","Existence d'une exception ?","")</f>
        <v/>
      </c>
      <c r="F11" s="578"/>
      <c r="G11" s="221"/>
      <c r="H11" s="579" t="str">
        <f>IF(G11="oui","Conservez les justificatifs !",IF(G11="non","Distance D-T plafonnée à 40 km",""))</f>
        <v/>
      </c>
      <c r="I11" s="579"/>
      <c r="J11" s="580"/>
      <c r="K11" s="576" t="str">
        <f>IF(M10&gt;40,"La distance maximale déductible est atteinte","")</f>
        <v/>
      </c>
      <c r="L11" s="577"/>
      <c r="M11" s="577"/>
      <c r="N11" s="220" t="str">
        <f>IF(K11&lt;&gt;"","Infos ICI","")</f>
        <v/>
      </c>
      <c r="O11" s="578" t="str">
        <f>IF(K11&lt;&gt;"","Existence d'une exception ?","")</f>
        <v/>
      </c>
      <c r="P11" s="578"/>
      <c r="Q11" s="221"/>
      <c r="R11" s="579" t="str">
        <f>IF(Q11="oui","Conservez les justificatifs !","")</f>
        <v/>
      </c>
      <c r="S11" s="579"/>
      <c r="T11" s="580"/>
    </row>
    <row r="12" spans="1:22">
      <c r="A12" s="575" t="s">
        <v>36</v>
      </c>
      <c r="B12" s="573"/>
      <c r="C12" s="264"/>
      <c r="D12" s="566" t="str">
        <f>IF(A9="Du 1er Janvier "&amp;'simul impots'!F1&amp;" au 31 Décembre "&amp;'simul impots'!F1,"se reporter à votre bulletin de salaire de décembre "&amp;'simul impots'!F1&amp;"                                                                                                                   OU  l'ensemble de vos plannings de l'année "&amp;'simul impots'!F1,"se reporter à votre bulletin de salaire du mois de "&amp;TEXT('simul impots'!D13,"MM/AA")&amp;"                                                                                                                  OU   l'ensemble de vos plannings de Janvier à "&amp;TEXT('simul impots'!D13,"MM/AA"))</f>
        <v>se reporter à votre bulletin de salaire du mois de 01/00                                                                                                                  OU   l'ensemble de vos plannings de Janvier à 01/00</v>
      </c>
      <c r="E12" s="566"/>
      <c r="F12" s="566"/>
      <c r="G12" s="566"/>
      <c r="H12" s="566"/>
      <c r="I12" s="566"/>
      <c r="J12" s="567"/>
      <c r="K12" s="573" t="s">
        <v>36</v>
      </c>
      <c r="L12" s="573"/>
      <c r="M12" s="264"/>
      <c r="N12" s="566" t="str">
        <f>IF(K9="Du 1er Janvier "&amp;'simul impots'!F1&amp;" au 31 Décembre "&amp;'simul impots'!F1,"se reporter à votre bulletin de salaire de décembre "&amp;'simul impots'!F1&amp;"                                                                                                                   OU  l'ensemble de vos plannings de l'année "&amp;'simul impots'!F1,"se reporter à votre bulletin de salaire du mois de "&amp;TEXT('simul impots'!D13,"MM/AA")&amp;"                                                                                                                  OU   l'ensemble de vos plannings de Janvier à "&amp;TEXT('simul impots'!D13,"MM/AA"))</f>
        <v>se reporter à votre bulletin de salaire du mois de 01/00                                                                                                                  OU   l'ensemble de vos plannings de Janvier à 01/00</v>
      </c>
      <c r="O12" s="566"/>
      <c r="P12" s="566"/>
      <c r="Q12" s="566"/>
      <c r="R12" s="566"/>
      <c r="S12" s="566"/>
      <c r="T12" s="567"/>
    </row>
    <row r="13" spans="1:22">
      <c r="A13" s="568"/>
      <c r="B13" s="568"/>
      <c r="C13" s="568"/>
      <c r="D13" s="566"/>
      <c r="E13" s="566"/>
      <c r="F13" s="566"/>
      <c r="G13" s="566"/>
      <c r="H13" s="566"/>
      <c r="I13" s="566"/>
      <c r="J13" s="567"/>
      <c r="K13" s="569"/>
      <c r="L13" s="568"/>
      <c r="M13" s="568"/>
      <c r="N13" s="566"/>
      <c r="O13" s="566"/>
      <c r="P13" s="566"/>
      <c r="Q13" s="566"/>
      <c r="R13" s="566"/>
      <c r="S13" s="566"/>
      <c r="T13" s="567"/>
    </row>
    <row r="14" spans="1:22">
      <c r="A14" s="570" t="str">
        <f>IF('simul impots'!B13="non","",IF('simul impots'!B13="oui","Du "&amp;TEXT('simul impots'!D13,"JJ-MM-AAAA")&amp;" au 31 Décembre "&amp;'simul impots'!F1,""))</f>
        <v/>
      </c>
      <c r="B14" s="571"/>
      <c r="C14" s="571"/>
      <c r="D14" s="571"/>
      <c r="E14" s="571"/>
      <c r="F14" s="571"/>
      <c r="G14" s="571"/>
      <c r="H14" s="571"/>
      <c r="I14" s="571"/>
      <c r="J14" s="572"/>
      <c r="K14" s="570" t="str">
        <f>IF('simul impots'!B13="non","",IF('simul impots'!B13="oui","Du "&amp;TEXT('simul impots'!D13,"JJ-MM-AAAA")&amp;" au 31 Décembre "&amp;'simul impots'!F1,""))</f>
        <v/>
      </c>
      <c r="L14" s="571"/>
      <c r="M14" s="571"/>
      <c r="N14" s="571"/>
      <c r="O14" s="571"/>
      <c r="P14" s="571"/>
      <c r="Q14" s="571"/>
      <c r="R14" s="571"/>
      <c r="S14" s="571"/>
      <c r="T14" s="572"/>
    </row>
    <row r="15" spans="1:22">
      <c r="A15" s="575" t="str">
        <f>IF(A14&lt;&gt;"","Km Domicile-Travail :","")</f>
        <v/>
      </c>
      <c r="B15" s="573"/>
      <c r="C15" s="265"/>
      <c r="D15" s="574" t="str">
        <f>IF(A14&lt;&gt;"","soit trajet journalier aller-retour :","")</f>
        <v/>
      </c>
      <c r="E15" s="574"/>
      <c r="F15" s="574"/>
      <c r="G15" s="209" t="str">
        <f>IF(A14&lt;&gt;"",IF(A16="",C15*2,IF(A16&lt;&gt;"",IF(G16="non",40*2,IF(G16="oui",C15*2,0)))),"")</f>
        <v/>
      </c>
      <c r="H15" s="11"/>
      <c r="I15" s="11"/>
      <c r="J15" s="208"/>
      <c r="K15" s="573" t="str">
        <f>IF(A14&lt;&gt;"","Km Domicile-Travail :","")</f>
        <v/>
      </c>
      <c r="L15" s="573"/>
      <c r="M15" s="212"/>
      <c r="N15" s="574" t="s">
        <v>37</v>
      </c>
      <c r="O15" s="574"/>
      <c r="P15" s="574"/>
      <c r="Q15" s="209">
        <f>IF(K16="",M15*2,IF(K16&lt;&gt;"",IF(Q16="non",40*2,IF(Q16="oui",M15*2,0))))</f>
        <v>0</v>
      </c>
      <c r="R15" s="11"/>
      <c r="S15" s="11"/>
      <c r="T15" s="208"/>
    </row>
    <row r="16" spans="1:22">
      <c r="A16" s="583" t="str">
        <f>IF(C15&gt;40,"La distance maximale déductible est atteinte","")</f>
        <v/>
      </c>
      <c r="B16" s="584"/>
      <c r="C16" s="584"/>
      <c r="D16" s="220" t="str">
        <f>IF(A16&lt;&gt;"","Infos ICI","")</f>
        <v/>
      </c>
      <c r="E16" s="578" t="str">
        <f>IF(A16&lt;&gt;"","Existence d'une exception ?","")</f>
        <v/>
      </c>
      <c r="F16" s="578"/>
      <c r="G16" s="221"/>
      <c r="H16" s="579" t="str">
        <f>IF(G16="oui","Conservez les justificatifs !","")</f>
        <v/>
      </c>
      <c r="I16" s="579"/>
      <c r="J16" s="580"/>
      <c r="K16" s="584" t="str">
        <f>IF(M15&gt;40,"La distance maximale déductible est atteinte","")</f>
        <v/>
      </c>
      <c r="L16" s="584"/>
      <c r="M16" s="584"/>
      <c r="N16" s="220" t="str">
        <f>IF(K16&lt;&gt;"","Infos ICI","")</f>
        <v/>
      </c>
      <c r="O16" s="578" t="str">
        <f>IF(K16&lt;&gt;"","Existence d'une exception ?","")</f>
        <v/>
      </c>
      <c r="P16" s="578"/>
      <c r="Q16" s="221"/>
      <c r="R16" s="579" t="str">
        <f>IF(Q16="oui","Conservez les justificatifs !","")</f>
        <v/>
      </c>
      <c r="S16" s="579"/>
      <c r="T16" s="580"/>
    </row>
    <row r="17" spans="1:20">
      <c r="A17" s="575" t="str">
        <f>IF(A14&lt;&gt;"","Nbr de jours travaillés :","")</f>
        <v/>
      </c>
      <c r="B17" s="573"/>
      <c r="C17" s="266"/>
      <c r="D17" s="566" t="str">
        <f>IF(A14&lt;&gt;"","se reporter à vos bulletins de salaire depuis le mois de "&amp;TEXT('simul impots'!D13,"MM/AA")&amp;"                                                                                                                   OU  l'ensemble de vos plannings de "&amp;TEXT('simul impots'!D13,"MM/AA")&amp;" à Décembre "&amp;'simul impots'!F1,"")</f>
        <v/>
      </c>
      <c r="E17" s="566"/>
      <c r="F17" s="566"/>
      <c r="G17" s="566"/>
      <c r="H17" s="566"/>
      <c r="I17" s="566"/>
      <c r="J17" s="567"/>
      <c r="K17" s="573" t="str">
        <f>IF(A14&lt;&gt;"","Nbr de jours travaillés :","")</f>
        <v/>
      </c>
      <c r="L17" s="573"/>
      <c r="M17" s="264"/>
      <c r="N17" s="566" t="str">
        <f>IF(A14&lt;&gt;"","se reporter à vos bulletins de salaire depuis le mois de "&amp;TEXT('simul impots'!D13,"MM/AA")&amp;"                                                                                                                   OU  l'ensemble de vos plannings de "&amp;TEXT('simul impots'!D13,"MM/AA")&amp;" à Décembre "&amp;'simul impots'!F1,"")</f>
        <v/>
      </c>
      <c r="O17" s="566"/>
      <c r="P17" s="566"/>
      <c r="Q17" s="566"/>
      <c r="R17" s="566"/>
      <c r="S17" s="566"/>
      <c r="T17" s="567"/>
    </row>
    <row r="18" spans="1:20">
      <c r="A18" s="568"/>
      <c r="B18" s="568"/>
      <c r="C18" s="568"/>
      <c r="D18" s="566"/>
      <c r="E18" s="566"/>
      <c r="F18" s="566"/>
      <c r="G18" s="566"/>
      <c r="H18" s="566"/>
      <c r="I18" s="566"/>
      <c r="J18" s="567"/>
      <c r="K18" s="569"/>
      <c r="L18" s="568"/>
      <c r="M18" s="568"/>
      <c r="N18" s="566"/>
      <c r="O18" s="566"/>
      <c r="P18" s="566"/>
      <c r="Q18" s="566"/>
      <c r="R18" s="566"/>
      <c r="S18" s="566"/>
      <c r="T18" s="567"/>
    </row>
    <row r="19" spans="1:20">
      <c r="A19" s="569"/>
      <c r="B19" s="581"/>
      <c r="C19" s="581"/>
      <c r="D19" s="581"/>
      <c r="E19" s="581"/>
      <c r="F19" s="581"/>
      <c r="G19" s="581"/>
      <c r="H19" s="581"/>
      <c r="I19" s="581"/>
      <c r="J19" s="582"/>
      <c r="K19" s="569"/>
      <c r="L19" s="581"/>
      <c r="M19" s="581"/>
      <c r="N19" s="581"/>
      <c r="O19" s="581"/>
      <c r="P19" s="581"/>
      <c r="Q19" s="581"/>
      <c r="R19" s="581"/>
      <c r="S19" s="581"/>
      <c r="T19" s="582"/>
    </row>
    <row r="20" spans="1:20" ht="15.75" thickBot="1">
      <c r="A20" s="569"/>
      <c r="B20" s="581"/>
      <c r="C20" s="581"/>
      <c r="D20" s="581"/>
      <c r="E20" s="581"/>
      <c r="F20" s="581"/>
      <c r="G20" s="581"/>
      <c r="H20" s="581"/>
      <c r="I20" s="581"/>
      <c r="J20" s="582"/>
      <c r="K20" s="569"/>
      <c r="L20" s="581"/>
      <c r="M20" s="581"/>
      <c r="N20" s="581"/>
      <c r="O20" s="581"/>
      <c r="P20" s="581"/>
      <c r="Q20" s="581"/>
      <c r="R20" s="581"/>
      <c r="S20" s="581"/>
      <c r="T20" s="582"/>
    </row>
    <row r="21" spans="1:20">
      <c r="A21" s="575" t="s">
        <v>38</v>
      </c>
      <c r="B21" s="573"/>
      <c r="C21" s="218"/>
      <c r="D21" s="11"/>
      <c r="E21" s="627" t="s">
        <v>50</v>
      </c>
      <c r="F21" s="628"/>
      <c r="G21" s="628"/>
      <c r="H21" s="628"/>
      <c r="I21" s="629"/>
      <c r="J21" s="211"/>
      <c r="K21" s="573" t="s">
        <v>38</v>
      </c>
      <c r="L21" s="573"/>
      <c r="M21" s="218"/>
      <c r="N21" s="11"/>
      <c r="O21" s="627" t="s">
        <v>50</v>
      </c>
      <c r="P21" s="628"/>
      <c r="Q21" s="628"/>
      <c r="R21" s="628"/>
      <c r="S21" s="629"/>
      <c r="T21" s="208"/>
    </row>
    <row r="22" spans="1:20">
      <c r="A22" s="575" t="s">
        <v>39</v>
      </c>
      <c r="B22" s="573"/>
      <c r="C22" s="218"/>
      <c r="D22" s="11"/>
      <c r="E22" s="623" t="s">
        <v>51</v>
      </c>
      <c r="F22" s="624"/>
      <c r="G22" s="592"/>
      <c r="H22" s="592"/>
      <c r="I22" s="593"/>
      <c r="J22" s="208"/>
      <c r="K22" s="573" t="s">
        <v>39</v>
      </c>
      <c r="L22" s="573"/>
      <c r="M22" s="218"/>
      <c r="N22" s="11"/>
      <c r="O22" s="623" t="s">
        <v>51</v>
      </c>
      <c r="P22" s="624"/>
      <c r="Q22" s="592"/>
      <c r="R22" s="592"/>
      <c r="S22" s="593"/>
      <c r="T22" s="208"/>
    </row>
    <row r="23" spans="1:20">
      <c r="A23" s="575" t="s">
        <v>40</v>
      </c>
      <c r="B23" s="573"/>
      <c r="C23" s="219">
        <f>C22-C21</f>
        <v>0</v>
      </c>
      <c r="D23" s="11"/>
      <c r="E23" s="623" t="s">
        <v>52</v>
      </c>
      <c r="F23" s="624"/>
      <c r="G23" s="594"/>
      <c r="H23" s="594"/>
      <c r="I23" s="595"/>
      <c r="J23" s="208"/>
      <c r="K23" s="573" t="s">
        <v>40</v>
      </c>
      <c r="L23" s="573"/>
      <c r="M23" s="219">
        <f>M22-M21</f>
        <v>0</v>
      </c>
      <c r="N23" s="11"/>
      <c r="O23" s="623" t="s">
        <v>52</v>
      </c>
      <c r="P23" s="624"/>
      <c r="Q23" s="594"/>
      <c r="R23" s="594"/>
      <c r="S23" s="595"/>
      <c r="T23" s="208"/>
    </row>
    <row r="24" spans="1:20">
      <c r="A24" s="575" t="s">
        <v>41</v>
      </c>
      <c r="B24" s="573"/>
      <c r="C24" s="219">
        <f>IF('simul impots'!B13="oui",G10*C12+C17*G15,G10*C12)</f>
        <v>0</v>
      </c>
      <c r="D24" s="11"/>
      <c r="E24" s="623" t="s">
        <v>53</v>
      </c>
      <c r="F24" s="624"/>
      <c r="G24" s="594"/>
      <c r="H24" s="594"/>
      <c r="I24" s="595"/>
      <c r="J24" s="208"/>
      <c r="K24" s="573" t="s">
        <v>41</v>
      </c>
      <c r="L24" s="573"/>
      <c r="M24" s="219">
        <f>IF('simul impots'!B13="oui",Q10*M12+M17*Q15,Q10*M12)</f>
        <v>0</v>
      </c>
      <c r="N24" s="11"/>
      <c r="O24" s="623" t="s">
        <v>53</v>
      </c>
      <c r="P24" s="624"/>
      <c r="Q24" s="594"/>
      <c r="R24" s="594"/>
      <c r="S24" s="595"/>
      <c r="T24" s="208"/>
    </row>
    <row r="25" spans="1:20">
      <c r="A25" s="207"/>
      <c r="B25" s="215" t="s">
        <v>43</v>
      </c>
      <c r="C25" s="210" t="str">
        <f>IF(C23=0,"",C24/C23)</f>
        <v/>
      </c>
      <c r="D25" s="11"/>
      <c r="E25" s="623" t="s">
        <v>54</v>
      </c>
      <c r="F25" s="624"/>
      <c r="G25" s="592"/>
      <c r="H25" s="592"/>
      <c r="I25" s="593"/>
      <c r="J25" s="208"/>
      <c r="K25" s="11"/>
      <c r="L25" s="215" t="s">
        <v>43</v>
      </c>
      <c r="M25" s="210" t="str">
        <f>IF(M23=0,"",M24/M23)</f>
        <v/>
      </c>
      <c r="N25" s="11"/>
      <c r="O25" s="623" t="s">
        <v>54</v>
      </c>
      <c r="P25" s="624"/>
      <c r="Q25" s="592"/>
      <c r="R25" s="592"/>
      <c r="S25" s="593"/>
      <c r="T25" s="208"/>
    </row>
    <row r="26" spans="1:20">
      <c r="A26" s="575" t="s">
        <v>42</v>
      </c>
      <c r="B26" s="573"/>
      <c r="C26" s="219">
        <f>IF(C23-C24&lt;0,"",C23-C24)</f>
        <v>0</v>
      </c>
      <c r="D26" s="11"/>
      <c r="E26" s="623" t="s">
        <v>56</v>
      </c>
      <c r="F26" s="624"/>
      <c r="G26" s="590"/>
      <c r="H26" s="590"/>
      <c r="I26" s="591"/>
      <c r="J26" s="208"/>
      <c r="K26" s="573" t="s">
        <v>42</v>
      </c>
      <c r="L26" s="573"/>
      <c r="M26" s="219">
        <f>IF(M23-M24&lt;0,"",M23-M24)</f>
        <v>0</v>
      </c>
      <c r="N26" s="11"/>
      <c r="O26" s="623" t="s">
        <v>56</v>
      </c>
      <c r="P26" s="624"/>
      <c r="Q26" s="590"/>
      <c r="R26" s="590"/>
      <c r="S26" s="591"/>
      <c r="T26" s="208"/>
    </row>
    <row r="27" spans="1:20" ht="15.75" thickBot="1">
      <c r="A27" s="207"/>
      <c r="B27" s="215" t="s">
        <v>43</v>
      </c>
      <c r="C27" s="210" t="str">
        <f>IF(C23=0,"",C26/C23)</f>
        <v/>
      </c>
      <c r="D27" s="11"/>
      <c r="E27" s="625" t="s">
        <v>55</v>
      </c>
      <c r="F27" s="626"/>
      <c r="G27" s="588"/>
      <c r="H27" s="588"/>
      <c r="I27" s="589"/>
      <c r="J27" s="208"/>
      <c r="K27" s="11"/>
      <c r="L27" s="215" t="s">
        <v>43</v>
      </c>
      <c r="M27" s="210" t="str">
        <f>IF(M23=0,"",M26/M23)</f>
        <v/>
      </c>
      <c r="N27" s="11"/>
      <c r="O27" s="625" t="s">
        <v>55</v>
      </c>
      <c r="P27" s="626"/>
      <c r="Q27" s="588"/>
      <c r="R27" s="588"/>
      <c r="S27" s="589"/>
      <c r="T27" s="208"/>
    </row>
    <row r="28" spans="1:20">
      <c r="A28" s="207"/>
      <c r="B28" s="11"/>
      <c r="C28" s="11"/>
      <c r="D28" s="11"/>
      <c r="E28" s="11"/>
      <c r="F28" s="11"/>
      <c r="G28" s="11"/>
      <c r="H28" s="11"/>
      <c r="I28" s="11"/>
      <c r="J28" s="208"/>
      <c r="K28" s="11"/>
      <c r="L28" s="11"/>
      <c r="M28" s="11"/>
      <c r="N28" s="11"/>
      <c r="O28" s="11"/>
      <c r="P28" s="11"/>
      <c r="Q28" s="11"/>
      <c r="R28" s="11"/>
      <c r="S28" s="11"/>
      <c r="T28" s="208"/>
    </row>
    <row r="29" spans="1:20">
      <c r="A29" s="563" t="s">
        <v>58</v>
      </c>
      <c r="B29" s="564"/>
      <c r="C29" s="564"/>
      <c r="D29" s="564" t="s">
        <v>59</v>
      </c>
      <c r="E29" s="564"/>
      <c r="F29" s="222">
        <f>IF(C24&lt;=5000,IF(G27&lt;=A46,C24*C46,IF(G27=A47,C24*C47,IF(G27=A48,C24*C48,IF(G27=A49,C24*C49,IF(G27&gt;=A50,C24*C50,0))))))+IF(AND(C24&gt;5000,C24&lt;=20000),IF(G27&lt;=A46,C24*D46+E46,IF(G27=A47,C24*D47+E47,IF(G27=A48,C24*D48+E48,IF(G27=A49,C24*D49+E49,IF(G27&gt;=A50,C24*D50+E50,0))))))+IF(C24&gt;20000,IF(G27&lt;=A46,C24*F46,IF(G27=A47,C24*F47,IF(G27=A48,C24*F48,IF(G27=A49,C24*F49,IF(G27&gt;=A50,C24*F50,0))))))</f>
        <v>0</v>
      </c>
      <c r="G29" s="610" t="s">
        <v>57</v>
      </c>
      <c r="H29" s="610"/>
      <c r="I29" s="610"/>
      <c r="J29" s="622"/>
      <c r="K29" s="564" t="s">
        <v>58</v>
      </c>
      <c r="L29" s="564"/>
      <c r="M29" s="564"/>
      <c r="N29" s="214" t="s">
        <v>59</v>
      </c>
      <c r="O29" s="214"/>
      <c r="P29" s="222">
        <f>IF(M24&lt;=5000,IF(Q27&lt;=A46,M24*C46,IF(Q27=A47,M24*C47,IF(Q27=A48,M24*C48,IF(Q27=A49,M24*C49,IF(Q27&gt;=A50,M24*C50,0))))))+IF(AND(M24&gt;5000,M24&lt;=20000),IF(Q27&lt;=A46,M24*D46+E46,IF(Q27=A47,M24*D47+E47,IF(Q27=A48,M24*D48+E48,IF(Q27=A49,M24*D49+E49,IF(Q27&gt;=A50,M24*D50+E50,0))))))+IF(M24&gt;20000,IF(Q27&lt;=A46,M24*F46,IF(Q27=A47,M24*F47,IF(Q27=A48,M24*F48,IF(Q27=A49,M24*F49,IF(Q27&gt;=A50,M24*F50,0))))))</f>
        <v>0</v>
      </c>
      <c r="Q29" s="610" t="s">
        <v>57</v>
      </c>
      <c r="R29" s="610"/>
      <c r="S29" s="610"/>
      <c r="T29" s="622"/>
    </row>
    <row r="30" spans="1:20">
      <c r="A30" s="207"/>
      <c r="B30" s="11"/>
      <c r="C30" s="11"/>
      <c r="D30" s="11"/>
      <c r="E30" s="11"/>
      <c r="F30" s="11"/>
      <c r="G30" s="11"/>
      <c r="H30" s="11"/>
      <c r="I30" s="11"/>
      <c r="J30" s="208"/>
      <c r="K30" s="217"/>
      <c r="L30" s="217"/>
      <c r="M30" s="217"/>
      <c r="N30" s="11"/>
      <c r="O30" s="11"/>
      <c r="P30" s="11"/>
      <c r="Q30" s="11"/>
      <c r="R30" s="11"/>
      <c r="S30" s="11"/>
      <c r="T30" s="208"/>
    </row>
    <row r="31" spans="1:20">
      <c r="A31" s="563" t="str">
        <f>IF(F29&lt;&gt;0,"Autres frais à déduire ?","")</f>
        <v/>
      </c>
      <c r="B31" s="564"/>
      <c r="C31" s="221"/>
      <c r="D31" s="610" t="str">
        <f>IF(A31="","","A voir : Les frais professionnels des salariés")</f>
        <v/>
      </c>
      <c r="E31" s="610"/>
      <c r="F31" s="610"/>
      <c r="G31" s="610"/>
      <c r="H31" s="11"/>
      <c r="I31" s="11"/>
      <c r="J31" s="208"/>
      <c r="K31" s="563" t="str">
        <f>IF(P29&lt;&gt;0,"Autres frais à déduire ?","")</f>
        <v/>
      </c>
      <c r="L31" s="564"/>
      <c r="M31" s="221"/>
      <c r="N31" s="610" t="str">
        <f>IF(K31="","","A voir : Les frais professionnels des salariés")</f>
        <v/>
      </c>
      <c r="O31" s="610"/>
      <c r="P31" s="610"/>
      <c r="Q31" s="610"/>
      <c r="R31" s="11"/>
      <c r="S31" s="11"/>
      <c r="T31" s="208"/>
    </row>
    <row r="32" spans="1:20">
      <c r="A32" s="207"/>
      <c r="B32" s="11"/>
      <c r="C32" s="260" t="s">
        <v>66</v>
      </c>
      <c r="D32" s="11"/>
      <c r="E32" s="587" t="s">
        <v>65</v>
      </c>
      <c r="F32" s="587"/>
      <c r="G32" s="587"/>
      <c r="H32" s="587"/>
      <c r="I32" s="587"/>
      <c r="J32" s="208"/>
      <c r="K32" s="207"/>
      <c r="L32" s="11"/>
      <c r="M32" s="11"/>
      <c r="N32" s="11"/>
      <c r="O32" s="587" t="s">
        <v>65</v>
      </c>
      <c r="P32" s="587"/>
      <c r="Q32" s="587"/>
      <c r="R32" s="587"/>
      <c r="S32" s="587"/>
      <c r="T32" s="208"/>
    </row>
    <row r="33" spans="1:20">
      <c r="A33" s="575" t="s">
        <v>44</v>
      </c>
      <c r="B33" s="573"/>
      <c r="C33" s="213"/>
      <c r="D33" s="258"/>
      <c r="E33" s="611"/>
      <c r="F33" s="611"/>
      <c r="G33" s="611"/>
      <c r="H33" s="611"/>
      <c r="I33" s="611"/>
      <c r="J33" s="208"/>
      <c r="K33" s="575" t="s">
        <v>44</v>
      </c>
      <c r="L33" s="573"/>
      <c r="M33" s="213"/>
      <c r="N33" s="258"/>
      <c r="O33" s="611"/>
      <c r="P33" s="611"/>
      <c r="Q33" s="611"/>
      <c r="R33" s="611"/>
      <c r="S33" s="611"/>
      <c r="T33" s="208"/>
    </row>
    <row r="34" spans="1:20">
      <c r="A34" s="602" t="s">
        <v>64</v>
      </c>
      <c r="B34" s="602"/>
      <c r="C34" s="222">
        <f>IF(C25="",0,C33*C25)</f>
        <v>0</v>
      </c>
      <c r="D34" s="11"/>
      <c r="E34" s="611"/>
      <c r="F34" s="611"/>
      <c r="G34" s="611"/>
      <c r="H34" s="611"/>
      <c r="I34" s="611"/>
      <c r="J34" s="208"/>
      <c r="K34" s="602" t="s">
        <v>64</v>
      </c>
      <c r="L34" s="602"/>
      <c r="M34" s="222">
        <f>IF(M25="",0,M33*M25)</f>
        <v>0</v>
      </c>
      <c r="N34" s="11"/>
      <c r="O34" s="611"/>
      <c r="P34" s="611"/>
      <c r="Q34" s="611"/>
      <c r="R34" s="611"/>
      <c r="S34" s="611"/>
      <c r="T34" s="208"/>
    </row>
    <row r="35" spans="1:20">
      <c r="A35" s="575" t="s">
        <v>62</v>
      </c>
      <c r="B35" s="573"/>
      <c r="C35" s="223"/>
      <c r="D35" s="11"/>
      <c r="E35" s="611"/>
      <c r="F35" s="611"/>
      <c r="G35" s="611"/>
      <c r="H35" s="611"/>
      <c r="I35" s="611"/>
      <c r="J35" s="208"/>
      <c r="K35" s="575" t="s">
        <v>62</v>
      </c>
      <c r="L35" s="573"/>
      <c r="M35" s="223">
        <v>0</v>
      </c>
      <c r="N35" s="11"/>
      <c r="O35" s="611"/>
      <c r="P35" s="611"/>
      <c r="Q35" s="611"/>
      <c r="R35" s="611"/>
      <c r="S35" s="611"/>
      <c r="T35" s="208"/>
    </row>
    <row r="36" spans="1:20">
      <c r="A36" s="575" t="str">
        <f>"Repas ("&amp;C53&amp;"€/jour)"</f>
        <v>Repas (4,65€/jour)</v>
      </c>
      <c r="B36" s="573"/>
      <c r="C36" s="223"/>
      <c r="D36" s="11"/>
      <c r="E36" s="611"/>
      <c r="F36" s="611"/>
      <c r="G36" s="611"/>
      <c r="H36" s="611"/>
      <c r="I36" s="611"/>
      <c r="J36" s="208"/>
      <c r="K36" s="575" t="str">
        <f>"Repas ("&amp;C53&amp;"€/jour)"</f>
        <v>Repas (4,65€/jour)</v>
      </c>
      <c r="L36" s="573"/>
      <c r="M36" s="223">
        <v>0</v>
      </c>
      <c r="N36" s="11"/>
      <c r="O36" s="611"/>
      <c r="P36" s="611"/>
      <c r="Q36" s="611"/>
      <c r="R36" s="611"/>
      <c r="S36" s="611"/>
      <c r="T36" s="208"/>
    </row>
    <row r="37" spans="1:20">
      <c r="A37" s="575" t="s">
        <v>63</v>
      </c>
      <c r="B37" s="573"/>
      <c r="C37" s="223"/>
      <c r="D37" s="11"/>
      <c r="E37" s="611"/>
      <c r="F37" s="611"/>
      <c r="G37" s="611"/>
      <c r="H37" s="611"/>
      <c r="I37" s="611"/>
      <c r="J37" s="208"/>
      <c r="K37" s="575" t="s">
        <v>63</v>
      </c>
      <c r="L37" s="573"/>
      <c r="M37" s="223">
        <v>0</v>
      </c>
      <c r="N37" s="11"/>
      <c r="O37" s="611"/>
      <c r="P37" s="611"/>
      <c r="Q37" s="611"/>
      <c r="R37" s="611"/>
      <c r="S37" s="611"/>
      <c r="T37" s="208"/>
    </row>
    <row r="38" spans="1:20" ht="16.5" thickBot="1">
      <c r="A38" s="226"/>
      <c r="B38" s="227"/>
      <c r="C38" s="227"/>
      <c r="D38" s="227"/>
      <c r="E38" s="227"/>
      <c r="F38" s="227"/>
      <c r="G38" s="227"/>
      <c r="H38" s="227"/>
      <c r="I38" s="596" t="str">
        <f>IF(I39=$C$52," Plafond maxi atteint !","")</f>
        <v/>
      </c>
      <c r="J38" s="597"/>
      <c r="K38" s="234"/>
      <c r="L38" s="234"/>
      <c r="M38" s="234"/>
      <c r="N38" s="234"/>
      <c r="O38" s="234"/>
      <c r="P38" s="234"/>
      <c r="Q38" s="234"/>
      <c r="R38" s="234"/>
      <c r="S38" s="616" t="str">
        <f>IF(S39=$C$52," Plafond maxi atteint !","")</f>
        <v/>
      </c>
      <c r="T38" s="617"/>
    </row>
    <row r="39" spans="1:20" ht="15" customHeight="1">
      <c r="A39" s="603" t="str">
        <f>IF(OR(C7="",C10="",C12="",C21="",C22="",G27=""),"Merci de renseigner les informations demandées",IF(0.1*(IF('simul impots'!B41="",0,'simul impots'!B41)+IF('simul impots'!D41="",0,'simul impots'!D41))&gt;I39,"Optez pour le forfait des '10%'.","&gt;&gt;&gt;&gt;&gt; Résultat reporté en "&amp;IF(OR('simul impots'!B7="non",AND('simul impots'!B7="oui",'simul impots'!C12="non",OR('simul impots'!F12="non",AND('simul impots'!F12="oui",'simul impots'!B15="non")))),"B42","D42")&amp;" &gt;&gt;&gt;&gt;&gt;"))</f>
        <v>Merci de renseigner les informations demandées</v>
      </c>
      <c r="B39" s="604"/>
      <c r="C39" s="604"/>
      <c r="D39" s="604"/>
      <c r="E39" s="604"/>
      <c r="F39" s="604"/>
      <c r="G39" s="604"/>
      <c r="H39" s="604"/>
      <c r="I39" s="612">
        <f>IF(OR(C7="",C10="",C12="",C21="",C22="",G27=""),0,IF(ROUND(F29+C34+C35+C36,0)&gt;C52,C52,ROUND(F29+C34+C35+C36,0)))</f>
        <v>0</v>
      </c>
      <c r="J39" s="613"/>
      <c r="K39" s="603" t="str">
        <f>IF(OR(M7="",M10="",M12="",M21="",M22="",Q27=""),"Merci de renseigner les informations demandées",IF(0.1*(IF('simul impots'!C41="",0,'simul impots'!C41)+IF('simul impots'!E41="",0,'simul impots'!E41))&gt;S39,"Optez pour le forfait des '10%'.","&gt;&gt;&gt;&gt;&gt; Résultat reporté en "&amp;IF(OR(AND('simul impots'!B7="oui",'simul impots'!C12="non",OR('simul impots'!F12="non",AND('simul impots'!F12="oui",'simul impots'!B15="non")))),"C42","E42")&amp;" &gt;&gt;&gt;&gt;&gt;"))</f>
        <v>Merci de renseigner les informations demandées</v>
      </c>
      <c r="L39" s="604"/>
      <c r="M39" s="604"/>
      <c r="N39" s="604"/>
      <c r="O39" s="604"/>
      <c r="P39" s="604"/>
      <c r="Q39" s="604"/>
      <c r="R39" s="604"/>
      <c r="S39" s="612">
        <f>IF(OR(M7="",M10="",M12="",M21="",M22="",Q27=""),0,IF(ROUND(P29+M34+M35+M36,0)&gt;C52,C52,ROUND(P29+M34+M35+M36,0)))</f>
        <v>0</v>
      </c>
      <c r="T39" s="613"/>
    </row>
    <row r="40" spans="1:20" ht="15.75" customHeight="1" thickBot="1">
      <c r="A40" s="605"/>
      <c r="B40" s="606"/>
      <c r="C40" s="606"/>
      <c r="D40" s="606"/>
      <c r="E40" s="606"/>
      <c r="F40" s="606"/>
      <c r="G40" s="606"/>
      <c r="H40" s="606"/>
      <c r="I40" s="614"/>
      <c r="J40" s="615"/>
      <c r="K40" s="605"/>
      <c r="L40" s="606"/>
      <c r="M40" s="606"/>
      <c r="N40" s="606"/>
      <c r="O40" s="606"/>
      <c r="P40" s="606"/>
      <c r="Q40" s="606"/>
      <c r="R40" s="606"/>
      <c r="S40" s="614"/>
      <c r="T40" s="615"/>
    </row>
    <row r="41" spans="1:20" ht="15" customHeight="1">
      <c r="A41" s="618" t="str">
        <f>"Retour à votre 
Simulation"</f>
        <v>Retour à votre 
Simulation</v>
      </c>
      <c r="B41" s="618"/>
      <c r="C41" s="618"/>
      <c r="D41" s="618"/>
      <c r="E41" s="618"/>
      <c r="F41" s="618"/>
      <c r="G41" s="618"/>
      <c r="H41" s="618"/>
      <c r="I41" s="618"/>
      <c r="J41" s="618"/>
      <c r="K41" s="618"/>
      <c r="L41" s="618"/>
      <c r="M41" s="618"/>
      <c r="N41" s="618"/>
      <c r="O41" s="618"/>
      <c r="P41" s="618"/>
      <c r="Q41" s="618"/>
      <c r="R41" s="618"/>
      <c r="S41" s="618"/>
      <c r="T41" s="618"/>
    </row>
    <row r="42" spans="1:20" ht="15" customHeight="1">
      <c r="A42" s="619"/>
      <c r="B42" s="619"/>
      <c r="C42" s="619"/>
      <c r="D42" s="619"/>
      <c r="E42" s="619"/>
      <c r="F42" s="619"/>
      <c r="G42" s="619"/>
      <c r="H42" s="619"/>
      <c r="I42" s="619"/>
      <c r="J42" s="619"/>
      <c r="K42" s="619"/>
      <c r="L42" s="619"/>
      <c r="M42" s="619"/>
      <c r="N42" s="619"/>
      <c r="O42" s="619"/>
      <c r="P42" s="619"/>
      <c r="Q42" s="619"/>
      <c r="R42" s="619"/>
      <c r="S42" s="619"/>
      <c r="T42" s="619"/>
    </row>
    <row r="43" spans="1:20" ht="15" customHeight="1">
      <c r="A43" s="619"/>
      <c r="B43" s="619"/>
      <c r="C43" s="619"/>
      <c r="D43" s="619"/>
      <c r="E43" s="619"/>
      <c r="F43" s="619"/>
      <c r="G43" s="619"/>
      <c r="H43" s="619"/>
      <c r="I43" s="619"/>
      <c r="J43" s="619"/>
      <c r="K43" s="619"/>
      <c r="L43" s="619"/>
      <c r="M43" s="619"/>
      <c r="N43" s="619"/>
      <c r="O43" s="619"/>
      <c r="P43" s="619"/>
      <c r="Q43" s="619"/>
      <c r="R43" s="619"/>
      <c r="S43" s="619"/>
      <c r="T43" s="619"/>
    </row>
    <row r="44" spans="1:20" ht="19.5" thickBot="1">
      <c r="A44" s="620" t="str">
        <f>Admin!A91</f>
        <v>BAREME KM  (Valable pour votre déclaration )</v>
      </c>
      <c r="B44" s="620"/>
      <c r="C44" s="620"/>
      <c r="D44" s="620"/>
      <c r="E44" s="620"/>
      <c r="F44" s="620"/>
      <c r="G44" s="621" t="str">
        <f>IF(Admin!A102="","",Admin!A102)</f>
        <v>Barème de calcul de vos IK (pour véhicule 4 roues uniquement) 
Barème définitif 2018 (valable pour la déclaration de vos revenus perçus en 2017)</v>
      </c>
      <c r="H44" s="621"/>
      <c r="I44" s="621"/>
      <c r="J44" s="621"/>
      <c r="K44" s="621"/>
      <c r="L44" s="621"/>
      <c r="M44" s="621"/>
      <c r="N44" s="621"/>
      <c r="O44" s="621"/>
      <c r="P44" s="621"/>
      <c r="Q44" s="621"/>
      <c r="R44" s="621"/>
      <c r="S44" s="621"/>
      <c r="T44" s="621"/>
    </row>
    <row r="45" spans="1:20" ht="30.75" customHeight="1" thickBot="1">
      <c r="A45" s="600" t="str">
        <f>Admin!A92</f>
        <v>Puissance administrative</v>
      </c>
      <c r="B45" s="601"/>
      <c r="C45" s="228" t="str">
        <f>Admin!C92</f>
        <v>Jusqu’à 5 000 km</v>
      </c>
      <c r="D45" s="600" t="str">
        <f>Admin!D92</f>
        <v>De 5 001 km à 20 000 km</v>
      </c>
      <c r="E45" s="601"/>
      <c r="F45" s="228" t="str">
        <f>Admin!F92</f>
        <v>Au-delà de 20 000 km</v>
      </c>
      <c r="G45" s="621"/>
      <c r="H45" s="621"/>
      <c r="I45" s="621"/>
      <c r="J45" s="621"/>
      <c r="K45" s="621"/>
      <c r="L45" s="621"/>
      <c r="M45" s="621"/>
      <c r="N45" s="621"/>
      <c r="O45" s="621"/>
      <c r="P45" s="621"/>
      <c r="Q45" s="621"/>
      <c r="R45" s="621"/>
      <c r="S45" s="621"/>
      <c r="T45" s="621"/>
    </row>
    <row r="46" spans="1:20" ht="16.5" thickBot="1">
      <c r="A46" s="598">
        <f>Admin!A93</f>
        <v>3</v>
      </c>
      <c r="B46" s="599"/>
      <c r="C46" s="229">
        <f>Admin!C93</f>
        <v>0.41</v>
      </c>
      <c r="D46" s="230">
        <f>Admin!D93</f>
        <v>0.245</v>
      </c>
      <c r="E46" s="231">
        <f>Admin!E93</f>
        <v>824</v>
      </c>
      <c r="F46" s="229">
        <f>Admin!F93</f>
        <v>0.28599999999999998</v>
      </c>
      <c r="G46" s="621"/>
      <c r="H46" s="621"/>
      <c r="I46" s="621"/>
      <c r="J46" s="621"/>
      <c r="K46" s="621"/>
      <c r="L46" s="621"/>
      <c r="M46" s="621"/>
      <c r="N46" s="621"/>
      <c r="O46" s="621"/>
      <c r="P46" s="621"/>
      <c r="Q46" s="621"/>
      <c r="R46" s="621"/>
      <c r="S46" s="621"/>
      <c r="T46" s="621"/>
    </row>
    <row r="47" spans="1:20" ht="16.5" thickBot="1">
      <c r="A47" s="608">
        <f>Admin!A94</f>
        <v>4</v>
      </c>
      <c r="B47" s="609"/>
      <c r="C47" s="229">
        <f>Admin!C94</f>
        <v>0.49299999999999999</v>
      </c>
      <c r="D47" s="230">
        <f>Admin!D94</f>
        <v>0.27700000000000002</v>
      </c>
      <c r="E47" s="232">
        <f>Admin!E94</f>
        <v>1082</v>
      </c>
      <c r="F47" s="229">
        <f>Admin!F94</f>
        <v>0.33200000000000002</v>
      </c>
      <c r="G47" s="621"/>
      <c r="H47" s="621"/>
      <c r="I47" s="621"/>
      <c r="J47" s="621"/>
      <c r="K47" s="621"/>
      <c r="L47" s="621"/>
      <c r="M47" s="621"/>
      <c r="N47" s="621"/>
      <c r="O47" s="621"/>
      <c r="P47" s="621"/>
      <c r="Q47" s="621"/>
      <c r="R47" s="621"/>
      <c r="S47" s="621"/>
      <c r="T47" s="621"/>
    </row>
    <row r="48" spans="1:20" ht="16.5" thickBot="1">
      <c r="A48" s="608">
        <f>Admin!A95</f>
        <v>5</v>
      </c>
      <c r="B48" s="609"/>
      <c r="C48" s="229">
        <f>Admin!C95</f>
        <v>0.54300000000000004</v>
      </c>
      <c r="D48" s="230">
        <f>Admin!D95</f>
        <v>0.30499999999999999</v>
      </c>
      <c r="E48" s="232">
        <f>Admin!E95</f>
        <v>1188</v>
      </c>
      <c r="F48" s="229">
        <f>Admin!F95</f>
        <v>0.36399999999999999</v>
      </c>
      <c r="G48" s="621"/>
      <c r="H48" s="621"/>
      <c r="I48" s="621"/>
      <c r="J48" s="621"/>
      <c r="K48" s="621"/>
      <c r="L48" s="621"/>
      <c r="M48" s="621"/>
      <c r="N48" s="621"/>
      <c r="O48" s="621"/>
      <c r="P48" s="621"/>
      <c r="Q48" s="621"/>
      <c r="R48" s="621"/>
      <c r="S48" s="621"/>
      <c r="T48" s="621"/>
    </row>
    <row r="49" spans="1:21" ht="16.5" thickBot="1">
      <c r="A49" s="608">
        <f>Admin!A96</f>
        <v>6</v>
      </c>
      <c r="B49" s="609"/>
      <c r="C49" s="229">
        <f>Admin!C96</f>
        <v>0.56799999999999995</v>
      </c>
      <c r="D49" s="230">
        <f>Admin!D96</f>
        <v>0.32</v>
      </c>
      <c r="E49" s="232">
        <f>Admin!E96</f>
        <v>1244</v>
      </c>
      <c r="F49" s="229">
        <f>Admin!F96</f>
        <v>0.38200000000000001</v>
      </c>
      <c r="G49" s="621"/>
      <c r="H49" s="621"/>
      <c r="I49" s="621"/>
      <c r="J49" s="621"/>
      <c r="K49" s="621"/>
      <c r="L49" s="621"/>
      <c r="M49" s="621"/>
      <c r="N49" s="621"/>
      <c r="O49" s="621"/>
      <c r="P49" s="621"/>
      <c r="Q49" s="621"/>
      <c r="R49" s="621"/>
      <c r="S49" s="621"/>
      <c r="T49" s="621"/>
    </row>
    <row r="50" spans="1:21" ht="16.5" thickBot="1">
      <c r="A50" s="607">
        <v>7</v>
      </c>
      <c r="B50" s="607"/>
      <c r="C50" s="229">
        <f>Admin!C97</f>
        <v>0.59499999999999997</v>
      </c>
      <c r="D50" s="230">
        <f>Admin!D97</f>
        <v>0.33700000000000002</v>
      </c>
      <c r="E50" s="232">
        <f>Admin!E97</f>
        <v>1288</v>
      </c>
      <c r="F50" s="229">
        <f>Admin!F97</f>
        <v>0.40100000000000002</v>
      </c>
      <c r="G50" s="621"/>
      <c r="H50" s="621"/>
      <c r="I50" s="621"/>
      <c r="J50" s="621"/>
      <c r="K50" s="621"/>
      <c r="L50" s="621"/>
      <c r="M50" s="621"/>
      <c r="N50" s="621"/>
      <c r="O50" s="621"/>
      <c r="P50" s="621"/>
      <c r="Q50" s="621"/>
      <c r="R50" s="621"/>
      <c r="S50" s="621"/>
      <c r="T50" s="621"/>
    </row>
    <row r="51" spans="1:21" ht="15.75" thickBot="1">
      <c r="A51" s="630" t="str">
        <f>Admin!A98</f>
        <v>(d représente la distance parcourue)</v>
      </c>
      <c r="B51" s="630"/>
      <c r="C51" s="630"/>
      <c r="D51" s="630"/>
      <c r="E51" s="630"/>
      <c r="F51" s="630"/>
      <c r="G51" s="621"/>
      <c r="H51" s="621"/>
      <c r="I51" s="621"/>
      <c r="J51" s="621"/>
      <c r="K51" s="621"/>
      <c r="L51" s="621"/>
      <c r="M51" s="621"/>
      <c r="N51" s="621"/>
      <c r="O51" s="621"/>
      <c r="P51" s="621"/>
      <c r="Q51" s="621"/>
      <c r="R51" s="621"/>
      <c r="S51" s="621"/>
      <c r="T51" s="621"/>
    </row>
    <row r="52" spans="1:21" ht="16.5" thickBot="1">
      <c r="A52" s="585" t="str">
        <f>Admin!A99</f>
        <v>Plafond des frais réels :</v>
      </c>
      <c r="B52" s="586"/>
      <c r="C52" s="233">
        <f>Admin!C99</f>
        <v>12305</v>
      </c>
      <c r="D52" s="631"/>
      <c r="E52" s="568"/>
      <c r="F52" s="568"/>
      <c r="G52" s="621"/>
      <c r="H52" s="621"/>
      <c r="I52" s="621"/>
      <c r="J52" s="621"/>
      <c r="K52" s="621"/>
      <c r="L52" s="621"/>
      <c r="M52" s="621"/>
      <c r="N52" s="621"/>
      <c r="O52" s="621"/>
      <c r="P52" s="621"/>
      <c r="Q52" s="621"/>
      <c r="R52" s="621"/>
      <c r="S52" s="621"/>
      <c r="T52" s="621"/>
    </row>
    <row r="53" spans="1:21" ht="16.5" thickBot="1">
      <c r="A53" s="585" t="str">
        <f>Admin!A100</f>
        <v>Panier Repas Journalier :</v>
      </c>
      <c r="B53" s="586"/>
      <c r="C53" s="275">
        <f>Admin!C100</f>
        <v>4.6500000000000004</v>
      </c>
      <c r="D53" s="631"/>
      <c r="E53" s="568"/>
      <c r="F53" s="568"/>
      <c r="G53" s="621"/>
      <c r="H53" s="621"/>
      <c r="I53" s="621"/>
      <c r="J53" s="621"/>
      <c r="K53" s="621"/>
      <c r="L53" s="621"/>
      <c r="M53" s="621"/>
      <c r="N53" s="621"/>
      <c r="O53" s="621"/>
      <c r="P53" s="621"/>
      <c r="Q53" s="621"/>
      <c r="R53" s="621"/>
      <c r="S53" s="621"/>
      <c r="T53" s="621"/>
    </row>
    <row r="54" spans="1:21">
      <c r="A54" s="632" t="s">
        <v>60</v>
      </c>
      <c r="B54" s="632"/>
      <c r="C54" s="632"/>
      <c r="D54" s="632"/>
      <c r="E54" s="632"/>
      <c r="F54" s="632"/>
      <c r="G54" s="632"/>
      <c r="H54" s="632"/>
      <c r="I54" s="632"/>
      <c r="J54" s="632"/>
      <c r="K54" s="632"/>
      <c r="L54" s="632"/>
      <c r="M54" s="632"/>
      <c r="N54" s="632"/>
      <c r="O54" s="632"/>
      <c r="P54" s="632"/>
      <c r="Q54" s="632"/>
      <c r="R54" s="632"/>
      <c r="S54" s="632"/>
      <c r="T54" s="632"/>
    </row>
    <row r="55" spans="1:21">
      <c r="A55" s="632"/>
      <c r="B55" s="632"/>
      <c r="C55" s="632"/>
      <c r="D55" s="632"/>
      <c r="E55" s="632"/>
      <c r="F55" s="632"/>
      <c r="G55" s="632"/>
      <c r="H55" s="632"/>
      <c r="I55" s="632"/>
      <c r="J55" s="632"/>
      <c r="K55" s="632"/>
      <c r="L55" s="632"/>
      <c r="M55" s="632"/>
      <c r="N55" s="632"/>
      <c r="O55" s="632"/>
      <c r="P55" s="632"/>
      <c r="Q55" s="632"/>
      <c r="R55" s="632"/>
      <c r="S55" s="632"/>
      <c r="T55" s="632"/>
      <c r="U55" s="286"/>
    </row>
    <row r="56" spans="1:21" hidden="1"/>
    <row r="57" spans="1:21" hidden="1"/>
    <row r="58" spans="1:21" hidden="1"/>
    <row r="59" spans="1:21" hidden="1"/>
    <row r="60" spans="1:21" hidden="1"/>
    <row r="61" spans="1:21" hidden="1"/>
    <row r="62" spans="1:21" hidden="1"/>
    <row r="63" spans="1:21" hidden="1"/>
    <row r="64" spans="1:21" hidden="1"/>
    <row r="65" hidden="1"/>
    <row r="66" hidden="1"/>
    <row r="67" hidden="1"/>
    <row r="68" hidden="1"/>
    <row r="69" hidden="1"/>
    <row r="70" hidden="1"/>
    <row r="71" hidden="1"/>
    <row r="72" hidden="1"/>
    <row r="73" hidden="1"/>
    <row r="74" hidden="1"/>
    <row r="75" hidden="1"/>
  </sheetData>
  <sheetProtection password="C376" sheet="1" objects="1" scenarios="1"/>
  <mergeCells count="138">
    <mergeCell ref="A1:T1"/>
    <mergeCell ref="A5:B5"/>
    <mergeCell ref="A7:B7"/>
    <mergeCell ref="F3:G3"/>
    <mergeCell ref="P3:Q3"/>
    <mergeCell ref="K5:L5"/>
    <mergeCell ref="K7:L7"/>
    <mergeCell ref="D15:F15"/>
    <mergeCell ref="E16:F16"/>
    <mergeCell ref="H16:J16"/>
    <mergeCell ref="A6:B6"/>
    <mergeCell ref="K6:L6"/>
    <mergeCell ref="K8:T8"/>
    <mergeCell ref="M7:T7"/>
    <mergeCell ref="N5:T5"/>
    <mergeCell ref="N6:T6"/>
    <mergeCell ref="K9:T9"/>
    <mergeCell ref="K14:T14"/>
    <mergeCell ref="A4:J4"/>
    <mergeCell ref="D5:J5"/>
    <mergeCell ref="A2:T2"/>
    <mergeCell ref="R11:T11"/>
    <mergeCell ref="A15:B15"/>
    <mergeCell ref="C7:J7"/>
    <mergeCell ref="E26:F26"/>
    <mergeCell ref="G29:J29"/>
    <mergeCell ref="E22:F22"/>
    <mergeCell ref="E24:F24"/>
    <mergeCell ref="A51:F51"/>
    <mergeCell ref="D52:F53"/>
    <mergeCell ref="A54:T55"/>
    <mergeCell ref="A39:H40"/>
    <mergeCell ref="A23:B23"/>
    <mergeCell ref="A35:B35"/>
    <mergeCell ref="E23:F23"/>
    <mergeCell ref="E25:F25"/>
    <mergeCell ref="G22:I22"/>
    <mergeCell ref="G23:I23"/>
    <mergeCell ref="G24:I24"/>
    <mergeCell ref="G25:I25"/>
    <mergeCell ref="G26:I26"/>
    <mergeCell ref="G27:I27"/>
    <mergeCell ref="E27:F27"/>
    <mergeCell ref="A24:B24"/>
    <mergeCell ref="A22:B22"/>
    <mergeCell ref="A29:C29"/>
    <mergeCell ref="K18:M18"/>
    <mergeCell ref="A18:C18"/>
    <mergeCell ref="K17:L17"/>
    <mergeCell ref="R16:T16"/>
    <mergeCell ref="Q29:T29"/>
    <mergeCell ref="O22:P22"/>
    <mergeCell ref="O23:P23"/>
    <mergeCell ref="O27:P27"/>
    <mergeCell ref="K16:M16"/>
    <mergeCell ref="O16:P16"/>
    <mergeCell ref="O24:P24"/>
    <mergeCell ref="O25:P25"/>
    <mergeCell ref="K22:L22"/>
    <mergeCell ref="K23:L23"/>
    <mergeCell ref="K21:L21"/>
    <mergeCell ref="O21:S21"/>
    <mergeCell ref="K24:L24"/>
    <mergeCell ref="K26:L26"/>
    <mergeCell ref="Q23:S23"/>
    <mergeCell ref="Q22:S22"/>
    <mergeCell ref="K20:T20"/>
    <mergeCell ref="O26:P26"/>
    <mergeCell ref="K29:M29"/>
    <mergeCell ref="E21:I21"/>
    <mergeCell ref="A21:B21"/>
    <mergeCell ref="A49:B49"/>
    <mergeCell ref="A33:B33"/>
    <mergeCell ref="A48:B48"/>
    <mergeCell ref="A47:B47"/>
    <mergeCell ref="D31:G31"/>
    <mergeCell ref="E33:I37"/>
    <mergeCell ref="O33:S37"/>
    <mergeCell ref="K34:L34"/>
    <mergeCell ref="K36:L36"/>
    <mergeCell ref="S39:T40"/>
    <mergeCell ref="A36:B36"/>
    <mergeCell ref="K37:L37"/>
    <mergeCell ref="S38:T38"/>
    <mergeCell ref="A41:T43"/>
    <mergeCell ref="E32:I32"/>
    <mergeCell ref="K33:L33"/>
    <mergeCell ref="K35:L35"/>
    <mergeCell ref="N31:Q31"/>
    <mergeCell ref="A44:F44"/>
    <mergeCell ref="G44:T53"/>
    <mergeCell ref="I39:J40"/>
    <mergeCell ref="A26:B26"/>
    <mergeCell ref="D29:E29"/>
    <mergeCell ref="A19:J19"/>
    <mergeCell ref="K19:T19"/>
    <mergeCell ref="A17:B17"/>
    <mergeCell ref="A16:C16"/>
    <mergeCell ref="A53:B53"/>
    <mergeCell ref="O32:S32"/>
    <mergeCell ref="Q27:S27"/>
    <mergeCell ref="Q26:S26"/>
    <mergeCell ref="Q25:S25"/>
    <mergeCell ref="Q24:S24"/>
    <mergeCell ref="A20:J20"/>
    <mergeCell ref="A52:B52"/>
    <mergeCell ref="I38:J38"/>
    <mergeCell ref="A46:B46"/>
    <mergeCell ref="A45:B45"/>
    <mergeCell ref="D45:E45"/>
    <mergeCell ref="A31:B31"/>
    <mergeCell ref="A37:B37"/>
    <mergeCell ref="A34:B34"/>
    <mergeCell ref="K39:R40"/>
    <mergeCell ref="K31:L31"/>
    <mergeCell ref="A50:B50"/>
    <mergeCell ref="D17:J18"/>
    <mergeCell ref="N17:T18"/>
    <mergeCell ref="A8:J8"/>
    <mergeCell ref="N12:T13"/>
    <mergeCell ref="A13:C13"/>
    <mergeCell ref="K13:M13"/>
    <mergeCell ref="A14:J14"/>
    <mergeCell ref="K15:L15"/>
    <mergeCell ref="N15:P15"/>
    <mergeCell ref="D12:J13"/>
    <mergeCell ref="A12:B12"/>
    <mergeCell ref="K12:L12"/>
    <mergeCell ref="A9:J9"/>
    <mergeCell ref="A10:B10"/>
    <mergeCell ref="D10:F10"/>
    <mergeCell ref="K10:L10"/>
    <mergeCell ref="N10:P10"/>
    <mergeCell ref="A11:C11"/>
    <mergeCell ref="E11:F11"/>
    <mergeCell ref="H11:J11"/>
    <mergeCell ref="K11:M11"/>
    <mergeCell ref="O11:P11"/>
  </mergeCells>
  <conditionalFormatting sqref="K3:T40">
    <cfRule type="expression" dxfId="38" priority="4">
      <formula>$K$3=""</formula>
    </cfRule>
  </conditionalFormatting>
  <conditionalFormatting sqref="A39:H40">
    <cfRule type="expression" dxfId="37" priority="12">
      <formula>$A$39="Merci de renseigner les informations demandées"</formula>
    </cfRule>
    <cfRule type="expression" dxfId="36" priority="13">
      <formula>$A$39="Optez pour le forfait des '10%'."</formula>
    </cfRule>
  </conditionalFormatting>
  <conditionalFormatting sqref="I39">
    <cfRule type="expression" dxfId="35" priority="20">
      <formula>$A$39="Optez pour le forfait des '10%'."</formula>
    </cfRule>
    <cfRule type="expression" dxfId="34" priority="21">
      <formula>$I$39=0</formula>
    </cfRule>
  </conditionalFormatting>
  <conditionalFormatting sqref="S39">
    <cfRule type="expression" dxfId="33" priority="11">
      <formula>$S$39=0</formula>
    </cfRule>
    <cfRule type="expression" dxfId="32" priority="22">
      <formula>$K$39="Optez pour le forfait des '10%'."</formula>
    </cfRule>
  </conditionalFormatting>
  <conditionalFormatting sqref="K39:R40">
    <cfRule type="expression" dxfId="31" priority="14">
      <formula>$K$39="Merci de renseigner les informations demandées"</formula>
    </cfRule>
    <cfRule type="expression" dxfId="30" priority="19">
      <formula>$K$39="Optez pour le forfait des '10%'."</formula>
    </cfRule>
  </conditionalFormatting>
  <conditionalFormatting sqref="G16">
    <cfRule type="expression" dxfId="29" priority="17">
      <formula>$E$16&lt;&gt;""</formula>
    </cfRule>
  </conditionalFormatting>
  <conditionalFormatting sqref="Q16">
    <cfRule type="expression" dxfId="28" priority="18">
      <formula>$O$16&lt;&gt;""</formula>
    </cfRule>
  </conditionalFormatting>
  <conditionalFormatting sqref="C31">
    <cfRule type="expression" dxfId="27" priority="9">
      <formula>$A$31&lt;&gt;""</formula>
    </cfRule>
  </conditionalFormatting>
  <conditionalFormatting sqref="A32:I37">
    <cfRule type="expression" dxfId="26" priority="8">
      <formula>OR($C$31="",$C$31="non")</formula>
    </cfRule>
  </conditionalFormatting>
  <conditionalFormatting sqref="M31">
    <cfRule type="expression" dxfId="25" priority="10">
      <formula>$K$31&lt;&gt;""</formula>
    </cfRule>
  </conditionalFormatting>
  <conditionalFormatting sqref="K32:S37">
    <cfRule type="expression" dxfId="24" priority="6">
      <formula>OR($M$31="",$M$31="non")</formula>
    </cfRule>
  </conditionalFormatting>
  <conditionalFormatting sqref="G11">
    <cfRule type="expression" dxfId="23" priority="5">
      <formula>$E$11&lt;&gt;""</formula>
    </cfRule>
  </conditionalFormatting>
  <conditionalFormatting sqref="Q11">
    <cfRule type="expression" dxfId="22" priority="7">
      <formula>$O$11&lt;&gt;""</formula>
    </cfRule>
  </conditionalFormatting>
  <conditionalFormatting sqref="C15">
    <cfRule type="expression" dxfId="21" priority="3">
      <formula>$A$15&lt;&gt;""</formula>
    </cfRule>
  </conditionalFormatting>
  <conditionalFormatting sqref="C17">
    <cfRule type="expression" dxfId="20" priority="2">
      <formula>$A$17&lt;&gt;""</formula>
    </cfRule>
  </conditionalFormatting>
  <conditionalFormatting sqref="M17 M15:Q15">
    <cfRule type="expression" dxfId="19" priority="1">
      <formula>$K$6=""</formula>
    </cfRule>
  </conditionalFormatting>
  <dataValidations count="1">
    <dataValidation type="list" allowBlank="1" showInputMessage="1" showErrorMessage="1" sqref="M31 Q11 G11 Q16 G16 C31">
      <formula1>"Oui,Non"</formula1>
    </dataValidation>
  </dataValidations>
  <hyperlinks>
    <hyperlink ref="K3:M3" location="'simul impots'!A1" display="'simul impots'!A1"/>
    <hyperlink ref="K3:Q3" location="'simul impots'!A1" display="'simul impots'!A1"/>
    <hyperlink ref="A3:G3" location="'simul impots'!A1" display="'simul impots'!A1"/>
    <hyperlink ref="A3" location="'simul impots'!A42" display="'simul impots'!A42"/>
    <hyperlink ref="A3:C3" location="'simul impots'!A1" display="'simul impots'!A1"/>
    <hyperlink ref="D16" r:id="rId1" display="http://www.impots.gouv.fr/portal/dgi/public/popup;jsessionid=5TI14SAH32XUXQFIEIPSFFQ?espId=1&amp;typePage=cpr02&amp;docOid=documentstandard_570&amp;temNvlPopUp=true"/>
    <hyperlink ref="N16" r:id="rId2" display="http://www.impots.gouv.fr/portal/dgi/public/popup;jsessionid=5TI14SAH32XUXQFIEIPSFFQ?espId=1&amp;typePage=cpr02&amp;docOid=documentstandard_570&amp;temNvlPopUp=true"/>
    <hyperlink ref="D31:G31" r:id="rId3" display="A voir : Les frais professionnels des salariés"/>
    <hyperlink ref="G29:J29" location="'Frais Réels - détails'!A65" display="cf. Barème issu du site internet &quot;service-public.fr&quot;"/>
    <hyperlink ref="A54" location="'Frais Réels - détails'!A1" display="Retour à la saisie"/>
    <hyperlink ref="Q29:T29" location="'Frais Réels - détails'!A65" display="cf. Barème issu du site internet &quot;service-public.fr&quot;"/>
    <hyperlink ref="N31:Q31" r:id="rId4" display="A voir : Les frais professionnels des salariés"/>
    <hyperlink ref="D11" r:id="rId5" display="http://www.impots.gouv.fr/portal/dgi/public/popup;jsessionid=5TI14SAH32XUXQFIEIPSFFQ?espId=1&amp;typePage=cpr02&amp;docOid=documentstandard_570&amp;temNvlPopUp=true"/>
    <hyperlink ref="N11" r:id="rId6" display="http://www.impots.gouv.fr/portal/dgi/public/popup;jsessionid=5TI14SAH32XUXQFIEIPSFFQ?espId=1&amp;typePage=cpr02&amp;docOid=documentstandard_570&amp;temNvlPopUp=true"/>
  </hyperlinks>
  <pageMargins left="0.7" right="0.7" top="0.75" bottom="0.75" header="0.3" footer="0.3"/>
  <pageSetup paperSize="9" orientation="portrait" r:id="rId7"/>
  <drawing r:id="rId8"/>
  <legacyDrawing r:id="rId9"/>
</worksheet>
</file>

<file path=xl/worksheets/sheet3.xml><?xml version="1.0" encoding="utf-8"?>
<worksheet xmlns="http://schemas.openxmlformats.org/spreadsheetml/2006/main" xmlns:r="http://schemas.openxmlformats.org/officeDocument/2006/relationships">
  <sheetPr codeName="Feuil5">
    <pageSetUpPr fitToPage="1"/>
  </sheetPr>
  <dimension ref="A1:AA92"/>
  <sheetViews>
    <sheetView showGridLines="0" showRowColHeaders="0" workbookViewId="0">
      <selection sqref="A1:M1"/>
    </sheetView>
  </sheetViews>
  <sheetFormatPr baseColWidth="10" defaultColWidth="0" defaultRowHeight="15" zeroHeight="1"/>
  <cols>
    <col min="1" max="1" width="34.28515625" style="363" customWidth="1"/>
    <col min="2" max="2" width="11.42578125" style="363" customWidth="1"/>
    <col min="3" max="3" width="27.5703125" style="363" bestFit="1" customWidth="1"/>
    <col min="4" max="4" width="12" style="363" bestFit="1" customWidth="1"/>
    <col min="5" max="5" width="15.7109375" style="363" customWidth="1"/>
    <col min="6" max="6" width="30.7109375" style="363" customWidth="1"/>
    <col min="7" max="7" width="11.42578125" style="363" hidden="1" customWidth="1"/>
    <col min="8" max="8" width="11.42578125" style="363" customWidth="1"/>
    <col min="9" max="9" width="6.85546875" style="363" customWidth="1"/>
    <col min="10" max="10" width="19.7109375" style="363" customWidth="1"/>
    <col min="11" max="11" width="11.85546875" style="363" bestFit="1" customWidth="1"/>
    <col min="12" max="13" width="11.42578125" style="363" customWidth="1"/>
    <col min="14" max="19" width="10.7109375" style="363" hidden="1" customWidth="1"/>
    <col min="20" max="20" width="6.5703125" style="414" hidden="1" customWidth="1"/>
    <col min="21" max="21" width="21.7109375" style="414" customWidth="1"/>
    <col min="22" max="27" width="9.7109375" style="414" hidden="1" customWidth="1"/>
    <col min="28" max="16384" width="11.42578125" style="414" hidden="1"/>
  </cols>
  <sheetData>
    <row r="1" spans="1:21" ht="62.25" customHeight="1">
      <c r="A1" s="678" t="s">
        <v>296</v>
      </c>
      <c r="B1" s="678"/>
      <c r="C1" s="678"/>
      <c r="D1" s="678"/>
      <c r="E1" s="678"/>
      <c r="F1" s="678"/>
      <c r="G1" s="678"/>
      <c r="H1" s="678"/>
      <c r="I1" s="678"/>
      <c r="J1" s="678"/>
      <c r="K1" s="678"/>
      <c r="L1" s="678"/>
      <c r="M1" s="678"/>
      <c r="N1" s="414"/>
      <c r="O1" s="414"/>
      <c r="P1" s="414"/>
      <c r="Q1" s="414"/>
      <c r="R1" s="414"/>
      <c r="S1" s="414"/>
      <c r="U1" s="455" t="s">
        <v>297</v>
      </c>
    </row>
    <row r="2" spans="1:21" ht="39" hidden="1" customHeight="1">
      <c r="A2" s="688"/>
      <c r="B2" s="689"/>
      <c r="C2" s="689"/>
      <c r="D2" s="689"/>
      <c r="E2" s="689"/>
      <c r="F2" s="689"/>
      <c r="G2" s="689"/>
      <c r="H2" s="689"/>
      <c r="I2" s="689"/>
      <c r="J2" s="689"/>
      <c r="K2" s="689"/>
      <c r="L2" s="689"/>
      <c r="M2" s="689"/>
      <c r="N2" s="414"/>
      <c r="O2" s="414"/>
      <c r="P2" s="414"/>
      <c r="Q2" s="414"/>
      <c r="R2" s="414"/>
      <c r="S2" s="414"/>
    </row>
    <row r="3" spans="1:21" ht="15.75" thickBot="1">
      <c r="A3" s="695"/>
      <c r="B3" s="695"/>
      <c r="C3" s="695"/>
      <c r="D3" s="695"/>
      <c r="E3" s="695"/>
      <c r="F3" s="695"/>
      <c r="G3" s="695"/>
      <c r="H3" s="695"/>
      <c r="I3" s="695"/>
      <c r="J3" s="695"/>
      <c r="K3" s="695"/>
      <c r="L3" s="695"/>
      <c r="M3" s="695"/>
      <c r="N3" s="854"/>
      <c r="O3" s="854" t="str">
        <f>"01/01/"&amp;'simul impots'!F2</f>
        <v>01/01/</v>
      </c>
      <c r="P3" s="855"/>
      <c r="Q3" s="414"/>
      <c r="R3" s="414"/>
      <c r="S3" s="414"/>
      <c r="U3" s="645"/>
    </row>
    <row r="4" spans="1:21" ht="15.75" thickBot="1">
      <c r="A4" s="372" t="s">
        <v>214</v>
      </c>
      <c r="B4" s="568"/>
      <c r="C4" s="681" t="s">
        <v>225</v>
      </c>
      <c r="D4" s="682"/>
      <c r="E4" s="582"/>
      <c r="F4" s="374" t="s">
        <v>277</v>
      </c>
      <c r="G4" s="337"/>
      <c r="H4" s="705"/>
      <c r="I4" s="693" t="s">
        <v>236</v>
      </c>
      <c r="J4" s="685" t="s">
        <v>218</v>
      </c>
      <c r="K4" s="685"/>
      <c r="L4" s="686" t="s">
        <v>278</v>
      </c>
      <c r="M4" s="687"/>
      <c r="N4" s="414" t="str">
        <f>"01/01/"&amp;'simul impots'!F1</f>
        <v>01/01/</v>
      </c>
      <c r="O4" s="414" t="str">
        <f>"31/12/"&amp;'simul impots'!F1</f>
        <v>31/12/</v>
      </c>
      <c r="P4" s="414">
        <v>365</v>
      </c>
      <c r="Q4" s="414"/>
      <c r="R4" s="414"/>
      <c r="S4" s="414"/>
      <c r="U4" s="645"/>
    </row>
    <row r="5" spans="1:21" ht="15.75" thickBot="1">
      <c r="A5" s="338" t="str">
        <f>"Adresse 1 (au 01/01/"&amp;'simul impots'!F1&amp;")"</f>
        <v>Adresse 1 (au 01/01/)</v>
      </c>
      <c r="B5" s="568"/>
      <c r="C5" s="679" t="s">
        <v>276</v>
      </c>
      <c r="D5" s="680"/>
      <c r="E5" s="582"/>
      <c r="F5" s="448" t="str">
        <f>"au 01/01/"&amp;'simul impots'!F1</f>
        <v>au 01/01/</v>
      </c>
      <c r="G5" s="339"/>
      <c r="H5" s="705"/>
      <c r="I5" s="694"/>
      <c r="J5" s="375" t="s">
        <v>0</v>
      </c>
      <c r="K5" s="375" t="s">
        <v>219</v>
      </c>
      <c r="L5" s="375" t="s">
        <v>220</v>
      </c>
      <c r="M5" s="376" t="s">
        <v>216</v>
      </c>
      <c r="N5" s="430" t="e">
        <f>O3-P4-1</f>
        <v>#VALUE!</v>
      </c>
      <c r="O5" s="431"/>
      <c r="P5" s="432">
        <f>C6</f>
        <v>0</v>
      </c>
      <c r="Q5" s="432">
        <f>C7</f>
        <v>0</v>
      </c>
      <c r="R5" s="432">
        <f>C8</f>
        <v>0</v>
      </c>
      <c r="S5" s="432" t="s">
        <v>8</v>
      </c>
      <c r="U5" s="645"/>
    </row>
    <row r="6" spans="1:21" ht="15.75">
      <c r="A6" s="415" t="s">
        <v>240</v>
      </c>
      <c r="B6" s="568"/>
      <c r="C6" s="418"/>
      <c r="D6" s="419"/>
      <c r="E6" s="582"/>
      <c r="F6" s="451" t="str">
        <f>IF(C6="","",C6&amp;" 1")</f>
        <v/>
      </c>
      <c r="G6" s="339"/>
      <c r="H6" s="705"/>
      <c r="I6" s="447" t="e">
        <f>IF(OR(AND($D$6&gt;N5,$D$6&lt;N6),AND($D$7&gt;N5,$D$7&lt;N6),AND($D$8&gt;N5,$D$8&lt;N6)),"&gt;&gt;&gt;","")</f>
        <v>#VALUE!</v>
      </c>
      <c r="J6" s="453" t="str">
        <f>"Janvier "&amp;'simul impots'!F1</f>
        <v xml:space="preserve">Janvier </v>
      </c>
      <c r="K6" s="358"/>
      <c r="L6" s="423"/>
      <c r="M6" s="424"/>
      <c r="N6" s="430" t="e">
        <f>N5+31</f>
        <v>#VALUE!</v>
      </c>
      <c r="O6" s="355"/>
      <c r="P6" s="355" t="e">
        <f>IF(AND($D$6&gt;N5,$D$6&lt;N6),L6,0)</f>
        <v>#VALUE!</v>
      </c>
      <c r="Q6" s="355" t="e">
        <f>IF(AND($D$7&gt;N5,$D$7&lt;N6),L6,0)</f>
        <v>#VALUE!</v>
      </c>
      <c r="R6" s="355" t="e">
        <f>IF(AND($D$8&gt;N5,$D$8&lt;N6),L6,0)</f>
        <v>#VALUE!</v>
      </c>
      <c r="S6" s="432" t="e">
        <f>IF(SUM(P6:R6)=0,"",SUM(P6:R6))</f>
        <v>#VALUE!</v>
      </c>
      <c r="U6" s="645"/>
    </row>
    <row r="7" spans="1:21" ht="15.75">
      <c r="A7" s="415" t="s">
        <v>241</v>
      </c>
      <c r="B7" s="568"/>
      <c r="C7" s="418"/>
      <c r="D7" s="419"/>
      <c r="E7" s="582"/>
      <c r="F7" s="451" t="str">
        <f>IF(C7="","",C7&amp;" 1")</f>
        <v/>
      </c>
      <c r="G7" s="339"/>
      <c r="H7" s="705"/>
      <c r="I7" s="447" t="e">
        <f t="shared" ref="I7:I17" si="0">IF(OR(AND($D$6&gt;N6,$D$6&lt;N7),AND($D$7&gt;N6,$D$7&lt;N7),AND($D$8&gt;N6,$D$8&lt;N7)),"&gt;&gt;&gt;","")</f>
        <v>#VALUE!</v>
      </c>
      <c r="J7" s="453" t="str">
        <f>"Février "&amp;'simul impots'!F1</f>
        <v xml:space="preserve">Février </v>
      </c>
      <c r="K7" s="358"/>
      <c r="L7" s="423"/>
      <c r="M7" s="424"/>
      <c r="N7" s="430" t="e">
        <f>N6+28</f>
        <v>#VALUE!</v>
      </c>
      <c r="O7" s="355"/>
      <c r="P7" s="355" t="e">
        <f>IF(AND($D$6&gt;N6,$D$6&lt;N7),SUM($K$6:K6)+L8,0)</f>
        <v>#VALUE!</v>
      </c>
      <c r="Q7" s="355" t="e">
        <f>IF(AND($D$7&gt;N6,$D$7&lt;N7),SUM($K$6:K6)+L8,0)</f>
        <v>#VALUE!</v>
      </c>
      <c r="R7" s="355" t="e">
        <f>IF(AND($D$8&gt;N6,$D$8&lt;N7),SUM($K$6:K6)+L8,0)</f>
        <v>#VALUE!</v>
      </c>
      <c r="S7" s="432" t="e">
        <f t="shared" ref="S7:S17" si="1">IF(SUM(P7:R7)=0,"",SUM(P7:R7))</f>
        <v>#VALUE!</v>
      </c>
      <c r="U7" s="645"/>
    </row>
    <row r="8" spans="1:21" ht="16.5" thickBot="1">
      <c r="A8" s="415" t="s">
        <v>242</v>
      </c>
      <c r="B8" s="568"/>
      <c r="C8" s="420"/>
      <c r="D8" s="421"/>
      <c r="E8" s="582"/>
      <c r="F8" s="452" t="str">
        <f>IF(C8="","",C8&amp;" 1")</f>
        <v/>
      </c>
      <c r="G8" s="336"/>
      <c r="H8" s="705"/>
      <c r="I8" s="447" t="e">
        <f t="shared" si="0"/>
        <v>#VALUE!</v>
      </c>
      <c r="J8" s="453" t="str">
        <f>"Mars "&amp;'simul impots'!F1</f>
        <v xml:space="preserve">Mars </v>
      </c>
      <c r="K8" s="358"/>
      <c r="L8" s="423"/>
      <c r="M8" s="424"/>
      <c r="N8" s="430" t="e">
        <f>N7+31</f>
        <v>#VALUE!</v>
      </c>
      <c r="O8" s="355"/>
      <c r="P8" s="355" t="e">
        <f>IF(AND($D$6&gt;N7,$D$6&lt;N8),SUM($K$6:K7)+#REF!,0)</f>
        <v>#VALUE!</v>
      </c>
      <c r="Q8" s="355" t="e">
        <f>IF(AND($D$7&gt;N7,$D$7&lt;N8),SUM($K$6:K7)+#REF!,0)</f>
        <v>#VALUE!</v>
      </c>
      <c r="R8" s="355" t="e">
        <f>IF(AND($D$8&gt;N7,$D$8&lt;N8),SUM($K$6:K7)+#REF!,0)</f>
        <v>#VALUE!</v>
      </c>
      <c r="S8" s="432" t="e">
        <f t="shared" si="1"/>
        <v>#VALUE!</v>
      </c>
      <c r="U8" s="645"/>
    </row>
    <row r="9" spans="1:21" ht="16.5" thickBot="1">
      <c r="A9" s="338" t="str">
        <f>IF(AND(C6="Adresse Domicile",D6&lt;&gt;""),"Adresse 2 (au "&amp;IF(DAY(D6)&lt;10,"0"&amp;DAY(D6),DAY(D6))&amp;"/"&amp;IF(MONTH(D6)&lt;10,"0"&amp;MONTH(D6),MONTH(D6))&amp;"/"&amp;YEAR(D6)&amp;")",IF(AND(C7="Adresse Domicile",D7&lt;&gt;""),"Adresse 2 (au "&amp;IF(DAY(D7)&lt;10,"0"&amp;DAY(D7),DAY(D7))&amp;"/"&amp;IF(MONTH(D7)&lt;10,"0"&amp;MONTH(D7),MONTH(D7))&amp;"/"&amp;YEAR(D7)&amp;")",IF(AND(C8="Adresse Domicile",D8&lt;&gt;""),"Adresse 2 (au "&amp;IF(DAY(D8)&lt;10,"0"&amp;DAY(D8),DAY(D8))&amp;"/"&amp;IF(MONTH(D8)&lt;10,"0"&amp;MONTH(D8),MONTH(D8))&amp;"/"&amp;YEAR(D8)&amp;")","Adresse 2")))</f>
        <v>Adresse 2</v>
      </c>
      <c r="B9" s="568"/>
      <c r="C9" s="683" t="str">
        <f>IF(AND(C6&lt;&gt;"",C7&lt;&gt;"",OR(C6=C7,C6=C8,C7=C8)),"Doublon dans la saisie",IF(AND(A10="",OR(C6="Adresse Domicile",C7="Adresse Domicile",C8="Adresse Domicile")),"Adresse Domicile Non Renseignée",IF(AND(A21="",OR(C6="Adresse Travail",C7="Adresse Travail",C8="Adresse Travail")),"Adresse Travail Non Renseignée",IF(OR(AND(C6="Adresse Domicile",C7="",C8=""),AND(C7="Adresse Domicile",C6="",C8=""),AND(C8="Adresse Domicile",C7="",C6="")),"Saisie simplifiée recquise.",""))))</f>
        <v/>
      </c>
      <c r="D9" s="684"/>
      <c r="E9" s="582"/>
      <c r="F9" s="340" t="str">
        <f>IF(ISERROR(SMALL($D$6:$D$8,1)),"",IF(SMALL($D$6:$D$8,1)=D6,"Changement "&amp;C6,IF(SMALL($D$6:$D$8,1)=D7,"Changement "&amp;C7,IF(SMALL($D$6:$D$8,1)=D8,"Changement "&amp;C8,""))))</f>
        <v/>
      </c>
      <c r="G9" s="336" t="e">
        <f>IF(SMALL(S6:S18,1)=0,K18,SMALL(S6:S17,1))</f>
        <v>#VALUE!</v>
      </c>
      <c r="H9" s="705"/>
      <c r="I9" s="447" t="e">
        <f t="shared" si="0"/>
        <v>#VALUE!</v>
      </c>
      <c r="J9" s="453" t="str">
        <f>"Avril "&amp;'simul impots'!F1</f>
        <v xml:space="preserve">Avril </v>
      </c>
      <c r="K9" s="358"/>
      <c r="L9" s="423"/>
      <c r="M9" s="424"/>
      <c r="N9" s="430" t="e">
        <f>N8+30</f>
        <v>#VALUE!</v>
      </c>
      <c r="O9" s="355"/>
      <c r="P9" s="355" t="e">
        <f>IF(AND($D$6&gt;N8,$D$6&lt;N9),SUM($K$6:K8)+L9,0)</f>
        <v>#VALUE!</v>
      </c>
      <c r="Q9" s="355" t="e">
        <f>IF(AND($D$7&gt;N8,$D$7&lt;N9),SUM($K$6:K8)+L9,0)</f>
        <v>#VALUE!</v>
      </c>
      <c r="R9" s="355" t="e">
        <f>IF(AND($D$8&gt;N8,$D$8&lt;N9),SUM($K$6:K8)+L9,0)</f>
        <v>#VALUE!</v>
      </c>
      <c r="S9" s="432" t="e">
        <f t="shared" si="1"/>
        <v>#VALUE!</v>
      </c>
      <c r="U9" s="645"/>
    </row>
    <row r="10" spans="1:21" ht="16.5" thickBot="1">
      <c r="A10" s="416"/>
      <c r="B10" s="568"/>
      <c r="C10" s="646"/>
      <c r="D10" s="646"/>
      <c r="E10" s="582"/>
      <c r="F10" s="449" t="str">
        <f>IF(ISERROR(SMALL($D$6:$D$8,1)),"au 31/12/"&amp;'simul impots'!F1,SMALL($D$6:$D$8,1))</f>
        <v>au 31/12/</v>
      </c>
      <c r="G10" s="336"/>
      <c r="H10" s="705"/>
      <c r="I10" s="447" t="e">
        <f t="shared" si="0"/>
        <v>#VALUE!</v>
      </c>
      <c r="J10" s="453" t="str">
        <f>"Mai "&amp;'simul impots'!F1</f>
        <v xml:space="preserve">Mai </v>
      </c>
      <c r="K10" s="358"/>
      <c r="L10" s="423"/>
      <c r="M10" s="424"/>
      <c r="N10" s="430" t="e">
        <f>N9+31</f>
        <v>#VALUE!</v>
      </c>
      <c r="O10" s="355"/>
      <c r="P10" s="355" t="e">
        <f>IF(AND($D$6&gt;N9,$D$6&lt;N10),SUM($K$6:K9)+L10,0)</f>
        <v>#VALUE!</v>
      </c>
      <c r="Q10" s="355" t="e">
        <f>IF(AND($D$7&gt;N9,$D$7&lt;N10),SUM($K$6:K9)+L10,0)</f>
        <v>#VALUE!</v>
      </c>
      <c r="R10" s="355" t="e">
        <f>IF(AND($D$8&gt;N9,$D$8&lt;N10),SUM($K$6:K9)+L10,0)</f>
        <v>#VALUE!</v>
      </c>
      <c r="S10" s="432" t="e">
        <f t="shared" si="1"/>
        <v>#VALUE!</v>
      </c>
      <c r="U10" s="645"/>
    </row>
    <row r="11" spans="1:21" ht="16.5" thickBot="1">
      <c r="A11" s="416"/>
      <c r="B11" s="568"/>
      <c r="C11" s="681" t="s">
        <v>230</v>
      </c>
      <c r="D11" s="682"/>
      <c r="E11" s="582"/>
      <c r="F11" s="451" t="str">
        <f>IF(D6="","",IF(SMALL($D$6:$D$8,1)=D6,C6&amp;" 2",C6&amp;" 1"))</f>
        <v/>
      </c>
      <c r="G11" s="336"/>
      <c r="H11" s="705"/>
      <c r="I11" s="447" t="e">
        <f t="shared" si="0"/>
        <v>#VALUE!</v>
      </c>
      <c r="J11" s="453" t="str">
        <f>"Juin "&amp;'simul impots'!F1</f>
        <v xml:space="preserve">Juin </v>
      </c>
      <c r="K11" s="358"/>
      <c r="L11" s="423"/>
      <c r="M11" s="424"/>
      <c r="N11" s="430" t="e">
        <f>N10+30</f>
        <v>#VALUE!</v>
      </c>
      <c r="O11" s="355"/>
      <c r="P11" s="355" t="e">
        <f>IF(AND($D$6&gt;N10,$D$6&lt;N11),SUM($K$6:K10)+L11,0)</f>
        <v>#VALUE!</v>
      </c>
      <c r="Q11" s="355" t="e">
        <f>IF(AND($D$7&gt;N10,$D$7&lt;N11),SUM($K$6:K10)+L11,0)</f>
        <v>#VALUE!</v>
      </c>
      <c r="R11" s="355" t="e">
        <f>IF(AND($D$8&gt;N10,$D$8&lt;N11),SUM($K$6:K10)+L11,0)</f>
        <v>#VALUE!</v>
      </c>
      <c r="S11" s="432" t="e">
        <f t="shared" si="1"/>
        <v>#VALUE!</v>
      </c>
      <c r="U11" s="645"/>
    </row>
    <row r="12" spans="1:21" ht="16.5" thickBot="1">
      <c r="A12" s="417"/>
      <c r="B12" s="568"/>
      <c r="C12" s="679" t="s">
        <v>228</v>
      </c>
      <c r="D12" s="680"/>
      <c r="E12" s="582"/>
      <c r="F12" s="451" t="str">
        <f>IF(D7="","",IF(SMALL($D$6:$D$8,1)=D7,C7&amp;" 2",C7&amp;" 1"))</f>
        <v/>
      </c>
      <c r="G12" s="336"/>
      <c r="H12" s="705"/>
      <c r="I12" s="447" t="e">
        <f t="shared" si="0"/>
        <v>#VALUE!</v>
      </c>
      <c r="J12" s="453" t="str">
        <f>"Juillet "&amp;'simul impots'!F1</f>
        <v xml:space="preserve">Juillet </v>
      </c>
      <c r="K12" s="358"/>
      <c r="L12" s="423"/>
      <c r="M12" s="424"/>
      <c r="N12" s="430" t="e">
        <f>N11+31</f>
        <v>#VALUE!</v>
      </c>
      <c r="O12" s="355"/>
      <c r="P12" s="355" t="e">
        <f>IF(AND($D$6&gt;N11,$D$6&lt;N12),SUM($K$6:K11)+L12,0)</f>
        <v>#VALUE!</v>
      </c>
      <c r="Q12" s="355" t="e">
        <f>IF(AND($D$7&gt;N11,$D$7&lt;N12),SUM($K$6:K11)+L12,0)</f>
        <v>#VALUE!</v>
      </c>
      <c r="R12" s="355" t="e">
        <f>IF(AND($D$8&gt;N11,$D$8&lt;N12),SUM($K$6:K11)+L12,0)</f>
        <v>#VALUE!</v>
      </c>
      <c r="S12" s="432" t="e">
        <f t="shared" si="1"/>
        <v>#VALUE!</v>
      </c>
      <c r="U12" s="645"/>
    </row>
    <row r="13" spans="1:21" ht="16.5" thickBot="1">
      <c r="A13" s="364" t="str">
        <f>IF(AND(A10="",C6&lt;&gt;"Adresse Domicile",C7&lt;&gt;"Adresse Domicile",C8&lt;&gt;"Adresse Domicile"),"Vous n'avez pas changé de domicile","! 1 changement de domicile effectué !")</f>
        <v>Vous n'avez pas changé de domicile</v>
      </c>
      <c r="B13" s="568"/>
      <c r="C13" s="341" t="str">
        <f>IF(C6="","",C6&amp;" 1")</f>
        <v/>
      </c>
      <c r="D13" s="342" t="str">
        <f>IF(C13="","",P18)</f>
        <v/>
      </c>
      <c r="E13" s="582"/>
      <c r="F13" s="452" t="str">
        <f>IF(D8="","",IF(SMALL($D$6:$D$8,1)=D8,C8&amp;" 2",C8&amp;" 1"))</f>
        <v/>
      </c>
      <c r="G13" s="336"/>
      <c r="H13" s="705"/>
      <c r="I13" s="447" t="e">
        <f t="shared" si="0"/>
        <v>#VALUE!</v>
      </c>
      <c r="J13" s="453" t="str">
        <f>"Août  "&amp;'simul impots'!F1</f>
        <v xml:space="preserve">Août  </v>
      </c>
      <c r="K13" s="358"/>
      <c r="L13" s="423"/>
      <c r="M13" s="424"/>
      <c r="N13" s="430" t="e">
        <f>N12+31</f>
        <v>#VALUE!</v>
      </c>
      <c r="O13" s="355"/>
      <c r="P13" s="355" t="e">
        <f>IF(AND($D$6&gt;N12,$D$6&lt;N13),SUM($K$6:K12)+L13,0)</f>
        <v>#VALUE!</v>
      </c>
      <c r="Q13" s="355" t="e">
        <f>IF(AND($D$7&gt;N12,$D$7&lt;N13),SUM($K$6:K12)+L13,0)</f>
        <v>#VALUE!</v>
      </c>
      <c r="R13" s="355" t="e">
        <f>IF(AND($D$8&gt;N12,$D$8&lt;N13),SUM($K$6:K12)+L13,0)</f>
        <v>#VALUE!</v>
      </c>
      <c r="S13" s="432" t="e">
        <f t="shared" si="1"/>
        <v>#VALUE!</v>
      </c>
      <c r="U13" s="645"/>
    </row>
    <row r="14" spans="1:21" ht="16.5" thickBot="1">
      <c r="A14" s="2"/>
      <c r="B14" s="568"/>
      <c r="C14" s="343" t="str">
        <f>IF(C6="","",C6&amp;" 2")</f>
        <v/>
      </c>
      <c r="D14" s="344" t="str">
        <f>IF(C14="","",K18-P18)</f>
        <v/>
      </c>
      <c r="E14" s="582"/>
      <c r="F14" s="340" t="str">
        <f>IF(ISERROR(SMALL($D$6:$D$8,2)),"",IF(SMALL($D$6:$D$8,2)=D6,"Changement "&amp;C6,IF(SMALL($D$6:$D$8,2)=D7,"Changement "&amp;C7,IF(SMALL($D$6:$D$8,2)=D8,"Changement "&amp;C8,""))))</f>
        <v/>
      </c>
      <c r="G14" s="336" t="e">
        <f>IF(ISERROR(SMALL(S6:S17,2)),IF(K18-IF(G9="",0,G9)=0,"",K18-IF(G9="",0,G9)),SMALL(S6:S17,2)-SMALL(S6:S17,1))</f>
        <v>#VALUE!</v>
      </c>
      <c r="H14" s="705"/>
      <c r="I14" s="447" t="e">
        <f t="shared" si="0"/>
        <v>#VALUE!</v>
      </c>
      <c r="J14" s="453" t="str">
        <f>"Septembre  "&amp;'simul impots'!F1</f>
        <v xml:space="preserve">Septembre  </v>
      </c>
      <c r="K14" s="358"/>
      <c r="L14" s="423"/>
      <c r="M14" s="424"/>
      <c r="N14" s="430" t="e">
        <f>N13+30</f>
        <v>#VALUE!</v>
      </c>
      <c r="O14" s="355"/>
      <c r="P14" s="355" t="e">
        <f>IF(AND($D$6&gt;N13,$D$6&lt;N14),SUM($K$6:K13)+L14,0)</f>
        <v>#VALUE!</v>
      </c>
      <c r="Q14" s="355" t="e">
        <f>IF(AND($D$7&gt;N13,$D$7&lt;N14),SUM($K$6:K13)+L14,0)</f>
        <v>#VALUE!</v>
      </c>
      <c r="R14" s="355" t="e">
        <f>IF(AND($D$8&gt;N13,$D$8&lt;N14),SUM($K$6:K13)+L14,0)</f>
        <v>#VALUE!</v>
      </c>
      <c r="S14" s="432" t="e">
        <f t="shared" si="1"/>
        <v>#VALUE!</v>
      </c>
      <c r="U14" s="645"/>
    </row>
    <row r="15" spans="1:21" ht="16.5" thickBot="1">
      <c r="A15" s="372" t="s">
        <v>215</v>
      </c>
      <c r="B15" s="568"/>
      <c r="C15" s="345" t="str">
        <f>IF(C7="","",C7&amp;" 1")</f>
        <v/>
      </c>
      <c r="D15" s="346" t="str">
        <f>IF(C15="","",Q18)</f>
        <v/>
      </c>
      <c r="E15" s="582"/>
      <c r="F15" s="449" t="str">
        <f>IF(AND(ISERROR(SMALL($D$6:$D$8,1)),ISERROR(SMALL($D$6:$D$8,2))),"",IF(ISERROR(SMALL($D$6:$D$8,2)),"au 31/12/"&amp;'simul impots'!F1,SMALL($D$6:$D$8,2)))</f>
        <v/>
      </c>
      <c r="G15" s="336"/>
      <c r="H15" s="705"/>
      <c r="I15" s="447" t="e">
        <f t="shared" si="0"/>
        <v>#VALUE!</v>
      </c>
      <c r="J15" s="453" t="str">
        <f>"Octobre  "&amp;'simul impots'!F1</f>
        <v xml:space="preserve">Octobre  </v>
      </c>
      <c r="K15" s="358"/>
      <c r="L15" s="423"/>
      <c r="M15" s="424"/>
      <c r="N15" s="430" t="e">
        <f>N14+31</f>
        <v>#VALUE!</v>
      </c>
      <c r="O15" s="355"/>
      <c r="P15" s="355" t="e">
        <f>IF(AND($D$6&gt;N14,$D$6&lt;N15),SUM($K$6:K14)+L15,0)</f>
        <v>#VALUE!</v>
      </c>
      <c r="Q15" s="355" t="e">
        <f>IF(AND($D$7&gt;N14,$D$7&lt;N15),SUM($K$6:K14)+L15,0)</f>
        <v>#VALUE!</v>
      </c>
      <c r="R15" s="355" t="e">
        <f>IF(AND($D$8&gt;N14,$D$8&lt;N15),SUM($K$6:K14)+L15,0)</f>
        <v>#VALUE!</v>
      </c>
      <c r="S15" s="432" t="e">
        <f t="shared" si="1"/>
        <v>#VALUE!</v>
      </c>
      <c r="U15" s="645"/>
    </row>
    <row r="16" spans="1:21" ht="16.5" thickBot="1">
      <c r="A16" s="338" t="str">
        <f>"Adresse 1 (au 01/01/"&amp;'simul impots'!F1&amp;")"</f>
        <v>Adresse 1 (au 01/01/)</v>
      </c>
      <c r="B16" s="568"/>
      <c r="C16" s="345" t="str">
        <f>IF(C7="","",C7&amp;" 2")</f>
        <v/>
      </c>
      <c r="D16" s="346" t="str">
        <f>IF(C16="","",K18-Q18)</f>
        <v/>
      </c>
      <c r="E16" s="582"/>
      <c r="F16" s="451" t="str">
        <f>IF(F14="","",IF(D6="","",IF(SMALL($D$6:$D$8,2)=D6,C6&amp;" 2",IF(SMALL($D$6:$D$8,1)=D6,C6&amp;" 2",C6&amp;" 1"))))</f>
        <v/>
      </c>
      <c r="G16" s="336"/>
      <c r="H16" s="705"/>
      <c r="I16" s="447" t="e">
        <f t="shared" si="0"/>
        <v>#VALUE!</v>
      </c>
      <c r="J16" s="453" t="str">
        <f>"Novembre  "&amp;'simul impots'!F1</f>
        <v xml:space="preserve">Novembre  </v>
      </c>
      <c r="K16" s="358"/>
      <c r="L16" s="423"/>
      <c r="M16" s="424"/>
      <c r="N16" s="430" t="e">
        <f>N15+30</f>
        <v>#VALUE!</v>
      </c>
      <c r="O16" s="355"/>
      <c r="P16" s="355" t="e">
        <f>IF(AND($D$6&gt;N15,$D$6&lt;N16),SUM($K$6:K15)+L16,0)</f>
        <v>#VALUE!</v>
      </c>
      <c r="Q16" s="355" t="e">
        <f>IF(AND($D$7&gt;N15,$D$7&lt;N16),SUM($K$6:K15)+L16,0)</f>
        <v>#VALUE!</v>
      </c>
      <c r="R16" s="355" t="e">
        <f>IF(AND($D$8&gt;N15,$D$8&lt;N16),SUM($K$6:K15)+L16,0)</f>
        <v>#VALUE!</v>
      </c>
      <c r="S16" s="432" t="e">
        <f t="shared" si="1"/>
        <v>#VALUE!</v>
      </c>
      <c r="U16" s="645"/>
    </row>
    <row r="17" spans="1:21" ht="15.75">
      <c r="A17" s="415" t="s">
        <v>240</v>
      </c>
      <c r="B17" s="568"/>
      <c r="C17" s="341" t="str">
        <f>IF(C8="","",C8&amp;" 1")</f>
        <v/>
      </c>
      <c r="D17" s="342" t="str">
        <f>IF(C17="","",R18)</f>
        <v/>
      </c>
      <c r="E17" s="582"/>
      <c r="F17" s="451" t="str">
        <f>IF(F14="","",IF(D7="","",IF(SMALL($D$6:$D$8,2)=D7,C7&amp;" 2",IF(SMALL($D$6:$D$8,1)=D7,C7&amp;" 2",C7&amp;" 1"))))</f>
        <v/>
      </c>
      <c r="G17" s="336"/>
      <c r="H17" s="705"/>
      <c r="I17" s="447" t="e">
        <f t="shared" si="0"/>
        <v>#VALUE!</v>
      </c>
      <c r="J17" s="453" t="str">
        <f>"Décembre  "&amp;'simul impots'!F1</f>
        <v xml:space="preserve">Décembre  </v>
      </c>
      <c r="K17" s="358"/>
      <c r="L17" s="423"/>
      <c r="M17" s="424"/>
      <c r="N17" s="430" t="e">
        <f>N16+31</f>
        <v>#VALUE!</v>
      </c>
      <c r="O17" s="355"/>
      <c r="P17" s="355" t="e">
        <f>IF(AND($D$6&gt;N16,$D$6&lt;N17),SUM($K$6:K16)+L17,0)</f>
        <v>#VALUE!</v>
      </c>
      <c r="Q17" s="355" t="e">
        <f>IF(AND($D$7&gt;N16,$D$7&lt;N17),SUM($K$6:K16)+L17,0)</f>
        <v>#VALUE!</v>
      </c>
      <c r="R17" s="355" t="e">
        <f>IF(AND($D$8&gt;N16,$D$8&lt;N17),SUM($K$6:K16)+L17,0)</f>
        <v>#VALUE!</v>
      </c>
      <c r="S17" s="432" t="e">
        <f t="shared" si="1"/>
        <v>#VALUE!</v>
      </c>
      <c r="U17" s="645"/>
    </row>
    <row r="18" spans="1:21" ht="15.75" thickBot="1">
      <c r="A18" s="415" t="s">
        <v>241</v>
      </c>
      <c r="B18" s="568"/>
      <c r="C18" s="343" t="str">
        <f>IF(C8="","",C8&amp;" 2")</f>
        <v/>
      </c>
      <c r="D18" s="344" t="str">
        <f>IF(C18="","",K18-R18)</f>
        <v/>
      </c>
      <c r="E18" s="582"/>
      <c r="F18" s="452" t="str">
        <f>IF(F14="","",IF(D8="","",IF(SMALL($D$6:$D$8,2)=D8,C8&amp;" 2",IF(SMALL($D$6:$D$8,1)=D8,C8&amp;" 2",C8&amp;" 1"))))</f>
        <v/>
      </c>
      <c r="G18" s="336"/>
      <c r="H18" s="705"/>
      <c r="I18" s="691" t="s">
        <v>8</v>
      </c>
      <c r="J18" s="692"/>
      <c r="K18" s="711">
        <f>SUM(K6:K17)</f>
        <v>0</v>
      </c>
      <c r="L18" s="711"/>
      <c r="M18" s="712"/>
      <c r="N18" s="430" t="e">
        <f>N17+31</f>
        <v>#VALUE!</v>
      </c>
      <c r="O18" s="355"/>
      <c r="P18" s="433" t="e">
        <f>SUM(P6:P17)</f>
        <v>#VALUE!</v>
      </c>
      <c r="Q18" s="433" t="e">
        <f t="shared" ref="Q18:R18" si="2">SUM(Q6:Q17)</f>
        <v>#VALUE!</v>
      </c>
      <c r="R18" s="433" t="e">
        <f t="shared" si="2"/>
        <v>#VALUE!</v>
      </c>
      <c r="S18" s="432" t="e">
        <f>SUM(S6:S17)</f>
        <v>#VALUE!</v>
      </c>
      <c r="U18" s="645"/>
    </row>
    <row r="19" spans="1:21" ht="15.75" customHeight="1" thickBot="1">
      <c r="A19" s="415" t="s">
        <v>242</v>
      </c>
      <c r="B19" s="568"/>
      <c r="C19" s="646"/>
      <c r="D19" s="646"/>
      <c r="E19" s="582"/>
      <c r="F19" s="340" t="str">
        <f>IF(ISERROR(SMALL($D$6:$D$8,3)),"",IF(SMALL($D$6:$D$8,3)=D6,"Changement "&amp;C6,IF(SMALL($D$6:$D$8,3)=D7,"Changement "&amp;C7,IF(SMALL($D$6:$D$8,3)=D8,"Changement "&amp;C8,""))))</f>
        <v/>
      </c>
      <c r="G19" s="336" t="e">
        <f>IF(ISERROR(SMALL(S6:S17,3)),IF(K18-IF(G14="",0,G14)-IF(G9="",0,G9)=0,"",K18-IF(G14="",0,G14)-IF(G9="",0,G9)),SMALL(S6:S17,3)-SMALL(S6:S17,2))</f>
        <v>#VALUE!</v>
      </c>
      <c r="H19" s="705"/>
      <c r="I19" s="696" t="s">
        <v>288</v>
      </c>
      <c r="J19" s="697"/>
      <c r="K19" s="697"/>
      <c r="L19" s="697"/>
      <c r="M19" s="698"/>
      <c r="N19" s="355"/>
      <c r="O19" s="355"/>
      <c r="P19" s="355"/>
      <c r="Q19" s="355"/>
      <c r="R19" s="355"/>
      <c r="S19" s="434"/>
      <c r="U19" s="645"/>
    </row>
    <row r="20" spans="1:21" ht="15" customHeight="1" thickBot="1">
      <c r="A20" s="338" t="str">
        <f>IF(AND(C6="Adresse Travail",D6&lt;&gt;""),"Adresse 2 (au "&amp;IF(DAY(D6)&lt;10,"0"&amp;DAY(D6),DAY(D6))&amp;"/"&amp;IF(MONTH(D6)&lt;10,"0"&amp;MONTH(D6),MONTH(D6))&amp;"/"&amp;YEAR(D6)&amp;")",IF(AND(C7="Adresse Travail",D7&lt;&gt;""),"Adresse 2 (au "&amp;IF(DAY(D7)&lt;10,"0"&amp;DAY(D7),DAY(D7))&amp;"/"&amp;IF(MONTH(D7)&lt;10,"0"&amp;MONTH(D7),MONTH(D7))&amp;"/"&amp;YEAR(D7)&amp;")",IF(AND(C8="Adresse Travail",D8&lt;&gt;""),"Adresse 2 (au "&amp;IF(DAY(D8)&lt;10,"0"&amp;DAY(D8),DAY(D8))&amp;"/"&amp;IF(MONTH(D8)&lt;10,"0"&amp;MONTH(D8),MONTH(D8))&amp;"/"&amp;YEAR(D8)&amp;")","Adresse 2")))</f>
        <v>Adresse 2</v>
      </c>
      <c r="B20" s="568"/>
      <c r="C20" s="365" t="e">
        <f>IF(P18+Q18+R18=0,"Vous avez donc 1 période, Merci d'utiliser la calculette simplifiée.","Vous avez donc"&amp;IF(AND(OR(F15="au 31/12/"&amp;'simul impots'!F1,F15=""),OR(F20="",F20="au 31/12/"&amp;'simul impots'!F1))," 2 périodes : 
- La 1ère représente "&amp;G9&amp;" jours travaillés (du 1er Janvier "&amp;'simul impots'!F1&amp;" à la veille de votre "&amp;F9&amp;"), 
- et la 2nde représente "&amp;G14&amp;" jours travaillés (du jour de l'EVT au 31 Décembre "&amp;'simul impots'!F1&amp;").",IF(AND(OR(F15="au 31/12/"&amp;'simul impots'!F1,F15&lt;&gt;""),OR(F20="",F20="au 31/12/"&amp;'simul impots'!F1))," 3 périodes : 
- La 1ère représente "&amp;G9&amp;" jours travaillés (du 1er Janvier "&amp;'simul impots'!F1&amp;" à la veille de votre "&amp;F9&amp;"), 
- la 2ème représente "&amp;G14&amp;" jours travaillés (du jour du 1er EVT à la veille de votre "&amp;F14&amp;"), 
- et la 3ème représente "&amp;G19&amp;" jours travaillés (du jour du 2ème EVT au 31 Décembre "&amp;'simul impots'!F1&amp;").",IF(F24="au 31/12/"&amp;'simul impots'!F1," 4 périodes : 
- La 1ère représente "&amp;G9&amp;" jours travaillés (du 1er Janvier "&amp;'simul impots'!F1&amp;" à la veille de votre "&amp;F9&amp;"), 
- la 2ème représente "&amp;G14&amp;" jours travaillés (du jour du 1er EVT à la veille de votre "&amp;F14&amp;"), 
- la 3ème représente "&amp;G19&amp;" jours travaillés (du jour de votre 2ème EVT à la veille de votre "&amp;F19&amp;"), 
- et 4ème représente "&amp;G24&amp;" jours travaillés (du jour du 3ème EVT au 31 Décembre "&amp;'simul impots'!F1&amp;")."," 1 période, Merci d'utiliser la calculette simplifiée."))))&amp;"
"&amp;IF(S20&lt;&gt;0,IF(S20=1,"Données Inchangées :
- votre Adresse Travail
- votre Véhicule",
IF(S20=2,"Données Inchangées :
- votre Adresse Domicile
- votre Véhicule",
IF(AND(S20=3,OR(P20=S20,Q20=S20,R20=S20)),"Données Inchangées :
- votre Adresse Domicile
- votre Adresse Travail",
IF(S20=3,"Donnée Inchangée :
- votre Véhicule",
IF(S20=4,"Donnée Inchangée :
- votre Adresse Travail",
IF(S20=5,"Donnée Inchangée :
- votre Adresse Domicile","Données Inchangées :
- aucune")))))),"")
&amp;IF(C9="Saisie simplifiée recquise.","
NB: N'ayant effectué qu'un changement de domicile au cours de l'année échue, merci d'utiliser la calculette simplifiée.","")</f>
        <v>#VALUE!</v>
      </c>
      <c r="D20" s="366" t="s">
        <v>229</v>
      </c>
      <c r="E20" s="582"/>
      <c r="F20" s="449" t="str">
        <f>IF(AND(ISERROR(SMALL($D$6:$D$8,2)),ISERROR(SMALL($D$6:$D$8,3))),"",IF(ISERROR(SMALL($D$6:$D$8,3)),"au 31/12/"&amp;'simul impots'!F1,SMALL($D$6:$D$8,3)))</f>
        <v/>
      </c>
      <c r="G20" s="336"/>
      <c r="H20" s="705"/>
      <c r="I20" s="699"/>
      <c r="J20" s="700"/>
      <c r="K20" s="700"/>
      <c r="L20" s="700"/>
      <c r="M20" s="701"/>
      <c r="N20" s="355"/>
      <c r="O20" s="355"/>
      <c r="P20" s="355">
        <f>IF(P5="Adresse Domicile",1,IF(P5="Adresse Travail",2,IF(P5="Véhicule",3,0)))</f>
        <v>0</v>
      </c>
      <c r="Q20" s="355">
        <f t="shared" ref="Q20:R20" si="3">IF(Q5="Adresse Domicile",1,IF(Q5="Adresse Travail",2,IF(Q5="Véhicule",3,0)))</f>
        <v>0</v>
      </c>
      <c r="R20" s="355">
        <f t="shared" si="3"/>
        <v>0</v>
      </c>
      <c r="S20" s="434">
        <f>SUM(P20:R20)</f>
        <v>0</v>
      </c>
      <c r="U20" s="645"/>
    </row>
    <row r="21" spans="1:21">
      <c r="A21" s="416"/>
      <c r="B21" s="568"/>
      <c r="C21" s="397" t="str">
        <f>"Du 01/01/"&amp;'simul impots'!F1&amp;" au "&amp;IF(F9="","31/12/"&amp;'simul impots'!F1,IF(DAY(F10)-1=0,IF(OR(MONTH(F10)=2,MONTH(F10)=4,MONTH(F10)=6,MONTH(F10)=8,MONTH(F10)=9,MONTH(F10)=11),31&amp;"/"&amp;IF(MONTH(F10)-1&lt;10,"0"&amp;MONTH(F10)-1,MONTH(F10-1))&amp;"/"&amp;YEAR(F10),IF(OR(MONTH(F10)=5,MONTH(F10)=7,MONTH(F10)=10,MONTH(F10)=12),30,28)&amp;"/"&amp;IF(MONTH(F10)-1&lt;10,"0"&amp;MONTH(F10)-1,MONTH(F10-1))&amp;"/"&amp;YEAR(F10)),IF(DAY(F10)-1&lt;10,"0"&amp;DAY(F10)-1,DAY(F10)-1)&amp;"/"&amp;IF(MONTH(F10)&lt;10,"0"&amp;MONTH(F10),MONTH(F10))&amp;"/"&amp;YEAR(F10)))</f>
        <v>Du 01/01/ au 31/12/</v>
      </c>
      <c r="D21" s="398" t="e">
        <f>IF(G9=0,"",G9)</f>
        <v>#VALUE!</v>
      </c>
      <c r="E21" s="582"/>
      <c r="F21" s="451" t="str">
        <f>IF(F19="","",IF(D6="","",C6&amp;" 2"))</f>
        <v/>
      </c>
      <c r="G21" s="336"/>
      <c r="H21" s="705"/>
      <c r="I21" s="699"/>
      <c r="J21" s="700"/>
      <c r="K21" s="700"/>
      <c r="L21" s="700"/>
      <c r="M21" s="701"/>
      <c r="N21" s="414"/>
      <c r="O21" s="414"/>
      <c r="P21" s="414"/>
      <c r="Q21" s="414"/>
      <c r="R21" s="414"/>
      <c r="S21" s="414"/>
      <c r="U21" s="645"/>
    </row>
    <row r="22" spans="1:21">
      <c r="A22" s="415"/>
      <c r="B22" s="568"/>
      <c r="C22" s="399" t="str">
        <f>IF(F9="","","Du "&amp;IF(DAY(F10)&lt;10,"0"&amp;DAY(F10),DAY(F10))&amp;"/"&amp;IF(MONTH(F10)&lt;10,"0"&amp;MONTH(F10),MONTH(F10))&amp;"/"&amp;YEAR(F10)&amp;" au "&amp;IF(F14="","31/12/"&amp;'simul impots'!F1,IF(DAY(F15)-1=0,IF(OR(MONTH(F15)=2,MONTH(F15)=4,MONTH(F15)=6,MONTH(F15)=8,MONTH(F15)=9,MONTH(F15)=11),31&amp;"/"&amp;IF(MONTH(F15)-1&lt;10,"0"&amp;MONTH(F15)-1,MONTH(F15-1))&amp;"/"&amp;YEAR(F15),IF(OR(MONTH(F15)=5,MONTH(F15)=7,MONTH(F15)=10,MONTH(F15)=12),30,IF(YEAR(F15)=2016,29,28))&amp;"/"&amp;IF(MONTH(F15)-1&lt;10,"0"&amp;MONTH(F15)-1,MONTH(F15-1))&amp;"/"&amp;YEAR(F15)),IF(DAY(F15)-1&lt;10,"0"&amp;DAY(F15)-1,DAY(F15)-1)&amp;"/"&amp;IF(MONTH(F15)&lt;10,"0"&amp;MONTH(F15),MONTH(F15))&amp;"/"&amp;YEAR(F15))))</f>
        <v/>
      </c>
      <c r="D22" s="400" t="e">
        <f>IF(G14=0,"",G14)</f>
        <v>#VALUE!</v>
      </c>
      <c r="E22" s="582"/>
      <c r="F22" s="451" t="str">
        <f>IF(F19="","",IF(D7="","",C7&amp;" 2"))</f>
        <v/>
      </c>
      <c r="G22" s="336"/>
      <c r="H22" s="705"/>
      <c r="I22" s="699"/>
      <c r="J22" s="700"/>
      <c r="K22" s="700"/>
      <c r="L22" s="700"/>
      <c r="M22" s="701"/>
      <c r="N22" s="414"/>
      <c r="O22" s="414"/>
      <c r="P22" s="414"/>
      <c r="Q22" s="414"/>
      <c r="R22" s="414"/>
      <c r="S22" s="414"/>
      <c r="U22" s="645"/>
    </row>
    <row r="23" spans="1:21" ht="16.5" thickBot="1">
      <c r="A23" s="415"/>
      <c r="B23" s="568"/>
      <c r="C23" s="399" t="str">
        <f>IF(F14="","","Du "&amp;IF(DAY(F15)&lt;10,"0"&amp;DAY(F15),DAY(F15))&amp;"/"&amp;IF(MONTH(F15)&lt;10,"0"&amp;MONTH(F15),MONTH(F15))&amp;"/"&amp;YEAR(F15)&amp;" au "&amp;IF(F19="","31/12/"&amp;'simul impots'!F1,IF(DAY(F20)-1=0,IF(OR(MONTH(F20)=2,MONTH(F20)=4,MONTH(F20)=6,MONTH(F20)=8,MONTH(F20)=9,MONTH(F20)=11),31&amp;"/"&amp;IF(MONTH(F20)-1&lt;10,"0"&amp;MONTH(F20)-1,MONTH(F20-1))&amp;"/"&amp;YEAR(F20),IF(OR(MONTH(F20)=5,MONTH(F20)=7,MONTH(F20)=10,MONTH(F20)=12),30,IF(YEAR(F20)=2016,29,28))&amp;"/"&amp;IF(MONTH(F20)-1&lt;10,"0"&amp;MONTH(F20)-1,MONTH(F20-1))&amp;"/"&amp;YEAR(F20)),IF(DAY(F20)-1&lt;10,"0"&amp;DAY(F20)-1,DAY(F20)-1)&amp;"/"&amp;IF(MONTH(F20)&lt;10,"0"&amp;MONTH(F20),MONTH(F20))&amp;"/"&amp;YEAR(F20))))</f>
        <v/>
      </c>
      <c r="D23" s="400" t="e">
        <f>IF(G19=0,"",G19)</f>
        <v>#VALUE!</v>
      </c>
      <c r="E23" s="582"/>
      <c r="F23" s="452" t="str">
        <f>IF(F19="","",IF(D8="","",C8&amp;" 2"))</f>
        <v/>
      </c>
      <c r="G23" s="336"/>
      <c r="H23" s="705"/>
      <c r="I23" s="699"/>
      <c r="J23" s="700"/>
      <c r="K23" s="700"/>
      <c r="L23" s="700"/>
      <c r="M23" s="701"/>
      <c r="N23" s="414"/>
      <c r="O23" s="414"/>
      <c r="P23" s="414"/>
      <c r="Q23" s="414"/>
      <c r="R23" s="414"/>
      <c r="S23" s="445" t="str">
        <f>IF(OR($K$6="",$K$7="",$K$8="",$K$9="",$K$10="",$K$11="",$K$12="",$K$13="",$K$14="",$K$15="",$K$16="",$K$17=""),"","ok")</f>
        <v/>
      </c>
      <c r="U23" s="645"/>
    </row>
    <row r="24" spans="1:21" ht="15.75" thickBot="1">
      <c r="A24" s="364" t="str">
        <f>IF(AND(A21="",C6&lt;&gt;"Adresse Travail",C7&lt;&gt;"Adresse Travail",C8&lt;&gt;"Adresse Travail"),"Vous n'avez pas changé de travail","! 1 changement de travail effectué !")</f>
        <v>Vous n'avez pas changé de travail</v>
      </c>
      <c r="B24" s="568"/>
      <c r="C24" s="401" t="str">
        <f>IF(F19="","","Du "&amp;IF(DAY(F20)&lt;10,"0"&amp;DAY(F20),DAY(F20))&amp;"/"&amp;IF(MONTH(F20)&lt;10,"0"&amp;MONTH(F20),MONTH(F20))&amp;"/"&amp;YEAR(F20)&amp;" "&amp;F24)</f>
        <v/>
      </c>
      <c r="D24" s="402" t="e">
        <f>IF(G24=0,"",G24)</f>
        <v>#VALUE!</v>
      </c>
      <c r="E24" s="582"/>
      <c r="F24" s="450" t="str">
        <f>IF(ISERROR(SMALL($D$6:$D$8,3)),"","au 31/12/"&amp;'simul impots'!F1)</f>
        <v/>
      </c>
      <c r="G24" s="454" t="e">
        <f>K18-IF(G19="",0,G19)-IF(G14="",0,G14)-G9</f>
        <v>#VALUE!</v>
      </c>
      <c r="H24" s="705"/>
      <c r="I24" s="702"/>
      <c r="J24" s="703"/>
      <c r="K24" s="703"/>
      <c r="L24" s="703"/>
      <c r="M24" s="704"/>
      <c r="N24" s="414"/>
      <c r="O24" s="414"/>
      <c r="P24" s="414"/>
      <c r="Q24" s="414" t="str">
        <f>P25</f>
        <v>Adresse Domicile</v>
      </c>
      <c r="R24" s="414" t="str">
        <f>P26</f>
        <v>Adresse Travail</v>
      </c>
      <c r="S24" s="414" t="str">
        <f>P27</f>
        <v>Véhicule</v>
      </c>
      <c r="U24" s="645"/>
    </row>
    <row r="25" spans="1:21">
      <c r="A25" s="706"/>
      <c r="B25" s="706"/>
      <c r="C25" s="706"/>
      <c r="D25" s="706"/>
      <c r="E25" s="706"/>
      <c r="F25" s="706"/>
      <c r="G25" s="706"/>
      <c r="H25" s="706"/>
      <c r="I25" s="706"/>
      <c r="J25" s="706"/>
      <c r="K25" s="706"/>
      <c r="L25" s="706"/>
      <c r="M25" s="706"/>
      <c r="N25" s="414"/>
      <c r="O25" s="414"/>
      <c r="P25" s="414" t="s">
        <v>286</v>
      </c>
      <c r="Q25" s="414">
        <v>1</v>
      </c>
      <c r="R25" s="414">
        <v>3</v>
      </c>
      <c r="S25" s="414">
        <v>4</v>
      </c>
      <c r="U25" s="645"/>
    </row>
    <row r="26" spans="1:21" ht="15.75" thickBot="1">
      <c r="A26" s="707"/>
      <c r="B26" s="707"/>
      <c r="C26" s="707"/>
      <c r="D26" s="707"/>
      <c r="E26" s="707"/>
      <c r="F26" s="707"/>
      <c r="G26" s="707"/>
      <c r="H26" s="707"/>
      <c r="I26" s="707"/>
      <c r="J26" s="707"/>
      <c r="K26" s="707"/>
      <c r="L26" s="707"/>
      <c r="M26" s="707"/>
      <c r="N26" s="414"/>
      <c r="O26" s="414"/>
      <c r="P26" s="414" t="s">
        <v>289</v>
      </c>
      <c r="Q26" s="414">
        <v>3</v>
      </c>
      <c r="R26" s="414">
        <v>2</v>
      </c>
      <c r="S26" s="414">
        <v>5</v>
      </c>
      <c r="U26" s="645"/>
    </row>
    <row r="27" spans="1:21" ht="15.75" thickBot="1">
      <c r="A27" s="681" t="s">
        <v>235</v>
      </c>
      <c r="B27" s="738"/>
      <c r="C27" s="738"/>
      <c r="D27" s="682"/>
      <c r="E27" s="738" t="s">
        <v>231</v>
      </c>
      <c r="F27" s="738"/>
      <c r="G27" s="373"/>
      <c r="H27" s="681" t="s">
        <v>232</v>
      </c>
      <c r="I27" s="738"/>
      <c r="J27" s="682"/>
      <c r="K27" s="724" t="s">
        <v>244</v>
      </c>
      <c r="L27" s="725"/>
      <c r="M27" s="726"/>
      <c r="N27" s="414"/>
      <c r="O27" s="414"/>
      <c r="P27" s="414" t="s">
        <v>287</v>
      </c>
      <c r="Q27" s="414">
        <v>4</v>
      </c>
      <c r="R27" s="414">
        <v>5</v>
      </c>
      <c r="S27" s="414">
        <v>3</v>
      </c>
      <c r="U27" s="645"/>
    </row>
    <row r="28" spans="1:21">
      <c r="A28" s="378" t="s">
        <v>239</v>
      </c>
      <c r="B28" s="361" t="s">
        <v>234</v>
      </c>
      <c r="C28" s="361" t="s">
        <v>227</v>
      </c>
      <c r="D28" s="381" t="str">
        <f>IF(B32="","",IF(OR(2*B29&gt;80,2*B30&gt;80,2*B31&gt;80),"Exception ?",""))</f>
        <v/>
      </c>
      <c r="E28" s="676" t="s">
        <v>233</v>
      </c>
      <c r="F28" s="676"/>
      <c r="G28" s="347"/>
      <c r="H28" s="675" t="s">
        <v>233</v>
      </c>
      <c r="I28" s="676"/>
      <c r="J28" s="676"/>
      <c r="K28" s="708" t="s">
        <v>245</v>
      </c>
      <c r="L28" s="709"/>
      <c r="M28" s="710"/>
      <c r="N28" s="414"/>
      <c r="O28" s="414"/>
      <c r="P28" s="414"/>
      <c r="Q28" s="414"/>
      <c r="R28" s="414"/>
      <c r="S28" s="414"/>
      <c r="U28" s="645"/>
    </row>
    <row r="29" spans="1:21">
      <c r="A29" s="207" t="s">
        <v>226</v>
      </c>
      <c r="B29" s="422"/>
      <c r="C29" s="348" t="str">
        <f>IF(B29="","",IF(B29*2&gt;80,IF(D29="oui",B29*2,80),B29*2))</f>
        <v/>
      </c>
      <c r="D29" s="444"/>
      <c r="E29" s="349" t="e">
        <f>IF(OR(S20=0,G9=0,B29=0),"",G9)</f>
        <v>#VALUE!</v>
      </c>
      <c r="F29" s="360" t="e">
        <f>IF(OR(E29="",E29=0,C29="",C29=0),"",C29*E29)</f>
        <v>#VALUE!</v>
      </c>
      <c r="G29" s="350"/>
      <c r="H29" s="379" t="str">
        <f>IF(OR(S20=0,B29=0),"",IF(AND(S20&lt;=3,P20&lt;&gt;3,Q20&lt;&gt;3,R20&lt;&gt;3),"",IF(G14=0,"",IF(AND(F19&lt;&gt;"changement véhicule",F14&lt;&gt;"changement véhicule"),G14,""))))</f>
        <v/>
      </c>
      <c r="I29" s="668" t="str">
        <f>IF(OR(H29="",H29=0,C29="",C29=0),"",C29*H29)</f>
        <v/>
      </c>
      <c r="J29" s="668"/>
      <c r="K29" s="403" t="s">
        <v>246</v>
      </c>
      <c r="L29" s="404" t="s">
        <v>247</v>
      </c>
      <c r="M29" s="405" t="s">
        <v>248</v>
      </c>
      <c r="N29" s="414"/>
      <c r="O29" s="414"/>
      <c r="P29" s="414"/>
      <c r="Q29" s="414"/>
      <c r="R29" s="414"/>
      <c r="S29" s="414"/>
      <c r="U29" s="645"/>
    </row>
    <row r="30" spans="1:21">
      <c r="A30" s="394" t="str">
        <f>IF(S20=0,"",IF(OR(S20=1,S20=4),"KM TRAJET DOM 2 - TRAVAIL 1    &gt;&gt;&gt;&gt;",IF(OR(S20=5,S20=2),"KM TRAJET DOM 1 - TRAVAIL 2    &gt;&gt;&gt;&gt;",IF(AND(C6="Adresse Travail",C7="Adresse Domicile"),IF(D6&gt;D7,"KM TRAJET DOM 2 - TRAVAIL 1    &gt;&gt;&gt;&gt;","KM TRAJET DOM 1 - TRAVAIL 2    &gt;&gt;&gt;&gt;"),IF(AND(C6="Adresse Travail",C8="Adresse Domicile"),IF(D6&gt;D8,"KM TRAJET DOM 2 - TRAVAIL 1    &gt;&gt;&gt;&gt;","KM TRAJET DOM 1 - TRAVAIL 2    &gt;&gt;&gt;&gt;"),IF(AND(C7="Adresse Travail",C6="Adresse Domicile"),IF(D7&gt;D6,"KM TRAJET DOM 2 - TRAVAIL 1    &gt;&gt;&gt;&gt;","KM TRAJET DOM 1 - TRAVAIL 2    &gt;&gt;&gt;&gt;"),IF(AND(C7="Adresse Travail",C8="Adresse Domicile"),IF(D7&gt;D8,"KM TRAJET DOM 2 - TRAVAIL 1    &gt;&gt;&gt;&gt;","KM TRAJET DOM 1 - TRAVAIL 2    &gt;&gt;&gt;&gt;"),IF(AND(C8="Adresse Travail",C6="Adresse Domicile"),IF(D8&gt;D6,"KM TRAJET DOM 2 - TRAVAIL 1    &gt;&gt;&gt;&gt;","KM TRAJET DOM 1 - TRAVAIL 2    &gt;&gt;&gt;&gt;"),IF(AND(C8="Adresse Travail",C7="Adresse Domicile"),IF(D8&gt;D7,"KM TRAJET DOM 2 - TRAVAIL 1    &gt;&gt;&gt;&gt;","KM TRAJET DOM 1 - TRAVAIL 2    &gt;&gt;&gt;&gt;"),"")))))))))</f>
        <v/>
      </c>
      <c r="B30" s="443"/>
      <c r="C30" s="348" t="str">
        <f>IF(B30="","",IF(B30*2&gt;80,IF(D30="oui",B30*2,80),B30*2))</f>
        <v/>
      </c>
      <c r="D30" s="444"/>
      <c r="E30" s="349" t="str">
        <f>IF(OR(S20=0,B30=0),"",IF(AND(S20&lt;=3,P20&lt;&gt;3,Q20&lt;&gt;3,R20&lt;&gt;3),G14,IF(OR(F19="changement véhicule",F14="changement véhicule"),G14,"")))</f>
        <v/>
      </c>
      <c r="F30" s="360" t="str">
        <f t="shared" ref="F30:F31" si="4">IF(OR(E30="",E30=0,C30="",C30=0),"",C30*E30)</f>
        <v/>
      </c>
      <c r="G30" s="350"/>
      <c r="H30" s="379" t="str">
        <f>IF(OR(S20=0,B30=0),"",IF(AND(S20&lt;=3,P20&lt;&gt;3,Q20&lt;&gt;3,R20&lt;&gt;3),"",IF(G19=0,"",IF(F19&lt;&gt;"changement véhicule",G19,""))))</f>
        <v/>
      </c>
      <c r="I30" s="668" t="str">
        <f t="shared" ref="I30:I31" si="5">IF(OR(H30="",H30=0,C30="",C30=0),"",C30*H30)</f>
        <v/>
      </c>
      <c r="J30" s="668"/>
      <c r="K30" s="733" t="s">
        <v>249</v>
      </c>
      <c r="L30" s="734"/>
      <c r="M30" s="735"/>
      <c r="N30" s="414"/>
      <c r="O30" s="414"/>
      <c r="P30" s="414"/>
      <c r="Q30" s="414"/>
      <c r="R30" s="414"/>
      <c r="S30" s="414"/>
      <c r="U30" s="645"/>
    </row>
    <row r="31" spans="1:21">
      <c r="A31" s="394" t="str">
        <f>IF(OR(S20=6,AND(S20=3,P20&lt;&gt;S20,Q20&lt;&gt;S20,R20&lt;&gt;S20)),"KM TRAJET DOM 2 - TRAVAIL 2    &gt;&gt;&gt;&gt;","")</f>
        <v/>
      </c>
      <c r="B31" s="443"/>
      <c r="C31" s="348" t="str">
        <f>IF(B31="","",IF(B31*2&gt;80,IF(D31="oui",B31*2,80),B31*2))</f>
        <v/>
      </c>
      <c r="D31" s="444"/>
      <c r="E31" s="349" t="str">
        <f>IF(OR(B31=0,S20=0),"",IF(AND(S20&lt;=3,P20&lt;&gt;3,Q20&lt;&gt;3,R20&lt;&gt;3),G19,IF(F19="changement véhicule",G19,"")))</f>
        <v/>
      </c>
      <c r="F31" s="360" t="str">
        <f t="shared" si="4"/>
        <v/>
      </c>
      <c r="G31" s="350"/>
      <c r="H31" s="379" t="str">
        <f>IF(OR(B31=0,S20=0),"",IF(G24=0,"",G24))</f>
        <v/>
      </c>
      <c r="I31" s="668" t="str">
        <f t="shared" si="5"/>
        <v/>
      </c>
      <c r="J31" s="668"/>
      <c r="K31" s="730" t="s">
        <v>250</v>
      </c>
      <c r="L31" s="731"/>
      <c r="M31" s="732"/>
      <c r="N31" s="414"/>
      <c r="O31" s="414"/>
      <c r="P31" s="414"/>
      <c r="Q31" s="414"/>
      <c r="R31" s="414"/>
      <c r="S31" s="414"/>
      <c r="U31" s="645"/>
    </row>
    <row r="32" spans="1:21" ht="15.75" thickBot="1">
      <c r="A32" s="351"/>
      <c r="B32" s="352" t="str">
        <f>IF(SUM(B29:B31)=0,"",SUM(B29:B31))</f>
        <v/>
      </c>
      <c r="C32" s="352" t="str">
        <f>IF(SUM(C29:C31)=0,"",SUM(C29:C31))</f>
        <v/>
      </c>
      <c r="D32" s="377"/>
      <c r="E32" s="353" t="e">
        <f>IF(SUM(E29:E31)=0,"",SUM(E29:E31))</f>
        <v>#VALUE!</v>
      </c>
      <c r="F32" s="362" t="e">
        <f>IF(SUM(F29:F31)=0,"",SUM(F29:F31))</f>
        <v>#VALUE!</v>
      </c>
      <c r="G32" s="354"/>
      <c r="H32" s="380" t="str">
        <f>IF(SUM(H29:H31)=0,"",SUM(H29:H31))</f>
        <v/>
      </c>
      <c r="I32" s="690" t="str">
        <f>IF(SUM(I29:J31)=0,"",SUM(I29:J31))</f>
        <v/>
      </c>
      <c r="J32" s="690"/>
      <c r="K32" s="727" t="s">
        <v>251</v>
      </c>
      <c r="L32" s="728"/>
      <c r="M32" s="729"/>
      <c r="N32" s="414"/>
      <c r="O32" s="414"/>
      <c r="P32" s="414"/>
      <c r="Q32" s="414"/>
      <c r="R32" s="414"/>
      <c r="S32" s="414"/>
      <c r="U32" s="645"/>
    </row>
    <row r="33" spans="1:21" ht="15.75" thickBot="1">
      <c r="A33" s="716"/>
      <c r="B33" s="716"/>
      <c r="C33" s="716"/>
      <c r="D33" s="716"/>
      <c r="E33" s="716"/>
      <c r="F33" s="716"/>
      <c r="G33" s="716"/>
      <c r="H33" s="716"/>
      <c r="I33" s="716"/>
      <c r="J33" s="716"/>
      <c r="K33" s="581"/>
      <c r="L33" s="581"/>
      <c r="M33" s="581"/>
      <c r="N33" s="414"/>
      <c r="O33" s="414"/>
      <c r="P33" s="414"/>
      <c r="Q33" s="414"/>
      <c r="R33" s="414"/>
      <c r="S33" s="414"/>
      <c r="U33" s="645"/>
    </row>
    <row r="34" spans="1:21" ht="15.75" thickBot="1">
      <c r="A34" s="367" t="s">
        <v>222</v>
      </c>
      <c r="B34" s="368">
        <f>IF(H40+H49=0,0,H40+H49)</f>
        <v>0</v>
      </c>
      <c r="C34" s="717" t="s">
        <v>221</v>
      </c>
      <c r="D34" s="717"/>
      <c r="E34" s="368">
        <f>IF(B34=0,0,F32+I32)</f>
        <v>0</v>
      </c>
      <c r="F34" s="369" t="s">
        <v>224</v>
      </c>
      <c r="G34" s="370"/>
      <c r="H34" s="718">
        <f>IF(B34=0,0,E34/B34)</f>
        <v>0</v>
      </c>
      <c r="I34" s="718"/>
      <c r="J34" s="681" t="s">
        <v>257</v>
      </c>
      <c r="K34" s="719"/>
      <c r="L34" s="719"/>
      <c r="M34" s="720"/>
      <c r="N34" s="414"/>
      <c r="O34" s="414"/>
      <c r="P34" s="414"/>
      <c r="Q34" s="414"/>
      <c r="R34" s="414"/>
      <c r="S34" s="414"/>
      <c r="U34" s="645"/>
    </row>
    <row r="35" spans="1:21" ht="15.75" thickBot="1">
      <c r="A35" s="646"/>
      <c r="B35" s="646"/>
      <c r="C35" s="646"/>
      <c r="D35" s="646"/>
      <c r="E35" s="646"/>
      <c r="F35" s="646"/>
      <c r="G35" s="646"/>
      <c r="H35" s="646"/>
      <c r="I35" s="647"/>
      <c r="J35" s="741"/>
      <c r="K35" s="716"/>
      <c r="L35" s="716"/>
      <c r="M35" s="742"/>
      <c r="N35" s="414"/>
      <c r="O35" s="414"/>
      <c r="P35" s="414"/>
      <c r="Q35" s="414"/>
      <c r="R35" s="414"/>
      <c r="S35" s="414"/>
      <c r="U35" s="645"/>
    </row>
    <row r="36" spans="1:21" ht="15.75" thickBot="1">
      <c r="A36" s="392" t="s">
        <v>217</v>
      </c>
      <c r="B36" s="736" t="str">
        <f>IF(AND(B53="",C6&lt;&gt;"Véhicule",C7&lt;&gt;"Véhicule",C8&lt;&gt;"Véhicule"),"Vous n'avez pas changé de véhicule","! 1 changement de véhicule effectué !")</f>
        <v>Vous n'avez pas changé de véhicule</v>
      </c>
      <c r="C36" s="737"/>
      <c r="D36" s="665" t="s">
        <v>284</v>
      </c>
      <c r="E36" s="665"/>
      <c r="F36" s="665"/>
      <c r="G36" s="665"/>
      <c r="H36" s="665"/>
      <c r="I36" s="665"/>
      <c r="J36" s="648" t="s">
        <v>243</v>
      </c>
      <c r="K36" s="649"/>
      <c r="L36" s="649"/>
      <c r="M36" s="650"/>
      <c r="N36" s="414"/>
      <c r="O36" s="414"/>
      <c r="P36" s="414"/>
      <c r="Q36" s="414"/>
      <c r="R36" s="414"/>
      <c r="S36" s="414"/>
      <c r="U36" s="645"/>
    </row>
    <row r="37" spans="1:21" ht="15.75" thickBot="1">
      <c r="A37" s="721" t="str">
        <f>"Type 1 (au 01/01/"&amp;'simul impots'!F1&amp;")"</f>
        <v>Type 1 (au 01/01/)</v>
      </c>
      <c r="B37" s="722"/>
      <c r="C37" s="722"/>
      <c r="D37" s="722"/>
      <c r="E37" s="722"/>
      <c r="F37" s="722"/>
      <c r="G37" s="722"/>
      <c r="H37" s="722"/>
      <c r="I37" s="723"/>
      <c r="J37" s="388" t="s">
        <v>252</v>
      </c>
      <c r="K37" s="388" t="s">
        <v>253</v>
      </c>
      <c r="L37" s="388" t="s">
        <v>254</v>
      </c>
      <c r="M37" s="389" t="s">
        <v>236</v>
      </c>
      <c r="N37" s="414"/>
      <c r="O37" s="414"/>
      <c r="P37" s="414"/>
      <c r="Q37" s="414"/>
      <c r="R37" s="414"/>
      <c r="S37" s="414"/>
      <c r="U37" s="645"/>
    </row>
    <row r="38" spans="1:21">
      <c r="A38" s="627" t="s">
        <v>50</v>
      </c>
      <c r="B38" s="628"/>
      <c r="C38" s="628"/>
      <c r="D38" s="629"/>
      <c r="E38" s="581"/>
      <c r="F38" s="330" t="str">
        <f>"Compteur Km au 01/01/"&amp;'simul impots'!F1</f>
        <v>Compteur Km au 01/01/</v>
      </c>
      <c r="G38" s="333"/>
      <c r="H38" s="670"/>
      <c r="I38" s="671"/>
      <c r="J38" s="213"/>
      <c r="K38" s="382" t="str">
        <f>"01/01/"&amp;'simul impots'!F1</f>
        <v>01/01/</v>
      </c>
      <c r="L38" s="425"/>
      <c r="M38" s="383" t="str">
        <f>IF(F39="Compteur Km au 31/12/"&amp;'simul impots'!F1,"",F39)</f>
        <v/>
      </c>
      <c r="N38" s="414"/>
      <c r="O38" s="414"/>
      <c r="P38" s="414"/>
      <c r="Q38" s="414"/>
      <c r="R38" s="414"/>
      <c r="S38" s="414"/>
      <c r="U38" s="645"/>
    </row>
    <row r="39" spans="1:21">
      <c r="A39" s="357" t="s">
        <v>51</v>
      </c>
      <c r="B39" s="592"/>
      <c r="C39" s="592"/>
      <c r="D39" s="593"/>
      <c r="E39" s="581"/>
      <c r="F39" s="371" t="str">
        <f>IF(C6="Véhicule",D6,IF(C7="Véhicule",D7,IF(C8="Véhicule",D8,"Compteur Km au 31/12/"&amp;'simul impots'!F1)))</f>
        <v>Compteur Km au 31/12/</v>
      </c>
      <c r="G39" s="334"/>
      <c r="H39" s="670"/>
      <c r="I39" s="671"/>
      <c r="J39" s="739" t="str">
        <f>IF(OR(L38="",M38=""),"",IF(L38-M38&gt;7,"Prorata des intérêts effectués. Rbst prêt &gt; 7 jours après EVT!",""))</f>
        <v/>
      </c>
      <c r="K39" s="739"/>
      <c r="L39" s="739"/>
      <c r="M39" s="740"/>
      <c r="N39" s="414"/>
      <c r="O39" s="414"/>
      <c r="P39" s="414"/>
      <c r="Q39" s="414"/>
      <c r="R39" s="414"/>
      <c r="S39" s="414"/>
      <c r="U39" s="645"/>
    </row>
    <row r="40" spans="1:21">
      <c r="A40" s="357" t="s">
        <v>52</v>
      </c>
      <c r="B40" s="594"/>
      <c r="C40" s="594"/>
      <c r="D40" s="595"/>
      <c r="E40" s="581"/>
      <c r="F40" s="330" t="s">
        <v>40</v>
      </c>
      <c r="G40" s="333"/>
      <c r="H40" s="668">
        <f>IF(H39-H38=0,0,H39-H38)</f>
        <v>0</v>
      </c>
      <c r="I40" s="669"/>
      <c r="J40" s="390" t="s">
        <v>255</v>
      </c>
      <c r="K40" s="386" t="str">
        <f>IF(OR(J38="",L38=""),"",IF(J39="",J38,J38*(M38-K38)/(L38-K38)))</f>
        <v/>
      </c>
      <c r="L40" s="651" t="s">
        <v>271</v>
      </c>
      <c r="M40" s="652"/>
      <c r="N40" s="414"/>
      <c r="O40" s="414"/>
      <c r="P40" s="414"/>
      <c r="Q40" s="414"/>
      <c r="R40" s="414"/>
      <c r="S40" s="414"/>
      <c r="U40" s="645"/>
    </row>
    <row r="41" spans="1:21" ht="16.5" thickBot="1">
      <c r="A41" s="357" t="s">
        <v>53</v>
      </c>
      <c r="B41" s="594"/>
      <c r="C41" s="594"/>
      <c r="D41" s="595"/>
      <c r="E41" s="581"/>
      <c r="F41" s="330" t="s">
        <v>237</v>
      </c>
      <c r="G41" s="333"/>
      <c r="H41" s="658">
        <f>IF(B44=0,0,IF(F32&lt;=5000,IF(B44&lt;=A59,F32*C59,IF(B44=A60,F32*C60,IF(B44=A61,F32*C61,IF(B44=A62,F32*C62,IF(B44&gt;=A63,F32*C63,0))))))+IF(AND(F32&gt;5000,F32&lt;=20000),IF(B44&lt;=A59,F32*D59+E59,IF(B44=A60,F32*D60+E60,IF(B44=A61,F32*D61+E61,IF(B44=A62,F32*D62+E62,IF(B44&gt;=A63,F32*D63+E63,0))))))+IF(F32&gt;20000,IF(B44&lt;=A59,F32*F59,IF(B44=A60,F32*F60,IF(B44=A61,F32*F61,IF(B44=A62,F32*F62,IF(B44&gt;=A63,F32*F63,0)))))))</f>
        <v>0</v>
      </c>
      <c r="I41" s="659"/>
      <c r="J41" s="395" t="s">
        <v>256</v>
      </c>
      <c r="K41" s="387">
        <f>IF(H34=0,0,K40*H34)</f>
        <v>0</v>
      </c>
      <c r="L41" s="653"/>
      <c r="M41" s="654"/>
      <c r="N41" s="414"/>
      <c r="O41" s="414"/>
      <c r="P41" s="414"/>
      <c r="Q41" s="414"/>
      <c r="R41" s="414"/>
      <c r="S41" s="414"/>
      <c r="U41" s="645"/>
    </row>
    <row r="42" spans="1:21" ht="16.5" thickBot="1">
      <c r="A42" s="357" t="s">
        <v>54</v>
      </c>
      <c r="B42" s="592"/>
      <c r="C42" s="592"/>
      <c r="D42" s="593"/>
      <c r="E42" s="581"/>
      <c r="F42" s="330" t="s">
        <v>261</v>
      </c>
      <c r="G42" s="347"/>
      <c r="H42" s="658">
        <f>K41</f>
        <v>0</v>
      </c>
      <c r="I42" s="659"/>
      <c r="J42" s="649" t="s">
        <v>258</v>
      </c>
      <c r="K42" s="649"/>
      <c r="L42" s="649"/>
      <c r="M42" s="650"/>
      <c r="N42" s="414"/>
      <c r="O42" s="414"/>
      <c r="P42" s="414"/>
      <c r="Q42" s="414"/>
      <c r="R42" s="414"/>
      <c r="S42" s="414"/>
      <c r="U42" s="645"/>
    </row>
    <row r="43" spans="1:21" ht="15.75">
      <c r="A43" s="357" t="s">
        <v>56</v>
      </c>
      <c r="B43" s="590"/>
      <c r="C43" s="590"/>
      <c r="D43" s="591"/>
      <c r="E43" s="581"/>
      <c r="F43" s="330" t="s">
        <v>62</v>
      </c>
      <c r="G43" s="347"/>
      <c r="H43" s="658">
        <f>IF(H40=0,0,K44*K43)</f>
        <v>0</v>
      </c>
      <c r="I43" s="659"/>
      <c r="J43" s="390" t="s">
        <v>259</v>
      </c>
      <c r="K43" s="426">
        <f>K18*2</f>
        <v>0</v>
      </c>
      <c r="L43" s="651" t="s">
        <v>271</v>
      </c>
      <c r="M43" s="652"/>
      <c r="N43" s="414"/>
      <c r="O43" s="414"/>
      <c r="P43" s="414"/>
      <c r="Q43" s="414"/>
      <c r="R43" s="414"/>
      <c r="S43" s="414"/>
      <c r="U43" s="645"/>
    </row>
    <row r="44" spans="1:21" ht="15.75" thickBot="1">
      <c r="A44" s="359" t="s">
        <v>55</v>
      </c>
      <c r="B44" s="588"/>
      <c r="C44" s="588"/>
      <c r="D44" s="589"/>
      <c r="E44" s="666"/>
      <c r="F44" s="393" t="s">
        <v>262</v>
      </c>
      <c r="G44" s="396"/>
      <c r="H44" s="660">
        <f>+SUM(H41:I43)</f>
        <v>0</v>
      </c>
      <c r="I44" s="661"/>
      <c r="J44" s="391" t="s">
        <v>260</v>
      </c>
      <c r="K44" s="427"/>
      <c r="L44" s="653"/>
      <c r="M44" s="654"/>
      <c r="N44" s="414"/>
      <c r="O44" s="414"/>
      <c r="P44" s="414"/>
      <c r="Q44" s="414"/>
      <c r="R44" s="414"/>
      <c r="S44" s="414"/>
      <c r="U44" s="645"/>
    </row>
    <row r="45" spans="1:21" ht="15.75" thickBot="1">
      <c r="A45" s="672" t="s">
        <v>298</v>
      </c>
      <c r="B45" s="673"/>
      <c r="C45" s="673"/>
      <c r="D45" s="673"/>
      <c r="E45" s="673"/>
      <c r="F45" s="673"/>
      <c r="G45" s="673"/>
      <c r="H45" s="673"/>
      <c r="I45" s="674"/>
      <c r="J45" s="649" t="s">
        <v>243</v>
      </c>
      <c r="K45" s="649"/>
      <c r="L45" s="649"/>
      <c r="M45" s="650"/>
      <c r="N45" s="414"/>
      <c r="O45" s="414"/>
      <c r="P45" s="414"/>
      <c r="Q45" s="414"/>
      <c r="R45" s="414"/>
      <c r="S45" s="414"/>
      <c r="U45" s="645"/>
    </row>
    <row r="46" spans="1:21" ht="15.75" thickBot="1">
      <c r="A46" s="675" t="str">
        <f>IF(AND(C6="Véhicule",D6&lt;&gt;""),"Type 2 (au "&amp;IF(DAY(D6)&lt;10,"0"&amp;DAY(D6),DAY(D6))&amp;"/"&amp;IF(MONTH(D6)&lt;10,"0"&amp;MONTH(D6),MONTH(D6))&amp;"/"&amp;YEAR(D6)&amp;")",IF(AND(C7="Véhicule",D7&lt;&gt;""),"Type 2 (au "&amp;IF(DAY(D7)&lt;10,"0"&amp;DAY(D7),DAY(D7))&amp;"/"&amp;IF(MONTH(D7)&lt;10,"0"&amp;MONTH(D7),MONTH(D7))&amp;"/"&amp;YEAR(D7)&amp;")",IF(AND(C8="Véhicule",D8&lt;&gt;""),"Type 2  (au "&amp;IF(DAY(D8)&lt;10,"0"&amp;DAY(D8),DAY(D8))&amp;"/"&amp;IF(MONTH(D8)&lt;10,"0"&amp;MONTH(D8),MONTH(D8))&amp;"/"&amp;YEAR(D8)&amp;")","Type 2")))</f>
        <v>Type 2</v>
      </c>
      <c r="B46" s="676"/>
      <c r="C46" s="676"/>
      <c r="D46" s="676"/>
      <c r="E46" s="676"/>
      <c r="F46" s="676"/>
      <c r="G46" s="676"/>
      <c r="H46" s="676"/>
      <c r="I46" s="677"/>
      <c r="J46" s="384" t="s">
        <v>252</v>
      </c>
      <c r="K46" s="384" t="s">
        <v>236</v>
      </c>
      <c r="L46" s="384" t="s">
        <v>254</v>
      </c>
      <c r="M46" s="385" t="s">
        <v>285</v>
      </c>
      <c r="N46" s="414"/>
      <c r="O46" s="414"/>
      <c r="P46" s="414"/>
      <c r="Q46" s="414"/>
      <c r="R46" s="414"/>
      <c r="S46" s="414"/>
      <c r="U46" s="645"/>
    </row>
    <row r="47" spans="1:21">
      <c r="A47" s="627" t="s">
        <v>50</v>
      </c>
      <c r="B47" s="628"/>
      <c r="C47" s="628"/>
      <c r="D47" s="629"/>
      <c r="E47" s="569"/>
      <c r="F47" s="371" t="str">
        <f>IF(C6="Véhicule",D6,IF(C7="Véhicule",D7,IF(C8="Véhicule",D8,"")))</f>
        <v/>
      </c>
      <c r="G47" s="334"/>
      <c r="H47" s="670"/>
      <c r="I47" s="671"/>
      <c r="J47" s="213"/>
      <c r="K47" s="446" t="str">
        <f>F39</f>
        <v>Compteur Km au 31/12/</v>
      </c>
      <c r="L47" s="425"/>
      <c r="M47" s="383" t="str">
        <f>"31/12/"&amp;'simul impots'!F1</f>
        <v>31/12/</v>
      </c>
      <c r="N47" s="414"/>
      <c r="O47" s="414"/>
      <c r="P47" s="414"/>
      <c r="Q47" s="414"/>
      <c r="R47" s="414"/>
      <c r="S47" s="414"/>
      <c r="U47" s="645"/>
    </row>
    <row r="48" spans="1:21">
      <c r="A48" s="435" t="s">
        <v>51</v>
      </c>
      <c r="B48" s="592"/>
      <c r="C48" s="592"/>
      <c r="D48" s="593"/>
      <c r="E48" s="569"/>
      <c r="F48" s="356" t="str">
        <f>IF(OR(C6="Véhicule",C7="Véhicule",C8="Véhicule"),"Compteur Km au 31/12/"&amp;'simul impots'!F1,"")</f>
        <v/>
      </c>
      <c r="G48" s="335"/>
      <c r="H48" s="670"/>
      <c r="I48" s="671"/>
      <c r="J48" s="739" t="str">
        <f>IF(OR(L47="",M47=""),"",IF(M47-L47&gt;7,"Prorata des intérêts effectués. Rbst prêt &gt; 7 jours après EVT!",""))</f>
        <v/>
      </c>
      <c r="K48" s="739"/>
      <c r="L48" s="739"/>
      <c r="M48" s="740"/>
      <c r="N48" s="414"/>
      <c r="O48" s="414"/>
      <c r="P48" s="414"/>
      <c r="Q48" s="414"/>
      <c r="R48" s="414"/>
      <c r="S48" s="414"/>
      <c r="U48" s="645"/>
    </row>
    <row r="49" spans="1:21">
      <c r="A49" s="357" t="s">
        <v>52</v>
      </c>
      <c r="B49" s="594"/>
      <c r="C49" s="594"/>
      <c r="D49" s="595"/>
      <c r="E49" s="569"/>
      <c r="F49" s="330" t="str">
        <f>IF(F47="","","Total km parcourus :")</f>
        <v/>
      </c>
      <c r="G49" s="333"/>
      <c r="H49" s="668">
        <f>IF(H47+H48=0,0,H48-H47)</f>
        <v>0</v>
      </c>
      <c r="I49" s="669"/>
      <c r="J49" s="390" t="s">
        <v>255</v>
      </c>
      <c r="K49" s="386" t="str">
        <f>IF(OR(J47="",L47=""),"",IF(J48="",J47,J47*(M47-K47)/(L47-K47)))</f>
        <v/>
      </c>
      <c r="L49" s="651" t="s">
        <v>271</v>
      </c>
      <c r="M49" s="652"/>
      <c r="N49" s="414"/>
      <c r="O49" s="414"/>
      <c r="P49" s="414"/>
      <c r="Q49" s="414"/>
      <c r="R49" s="414"/>
      <c r="S49" s="414"/>
      <c r="U49" s="645"/>
    </row>
    <row r="50" spans="1:21" ht="16.5" thickBot="1">
      <c r="A50" s="357" t="s">
        <v>53</v>
      </c>
      <c r="B50" s="594"/>
      <c r="C50" s="594"/>
      <c r="D50" s="595"/>
      <c r="E50" s="569"/>
      <c r="F50" s="330" t="str">
        <f>IF(F49="","","Indemnités Km estimées :")</f>
        <v/>
      </c>
      <c r="G50" s="333"/>
      <c r="H50" s="658">
        <f>IF(H49=0,0,IF(I32&lt;=5000,IF(B53&lt;=A59,I32*C59,IF(B53=A60,I32*C60,IF(B53=A61,I32*C61,IF(B53=A62,I32*C62,IF(B53&gt;=A63,I32*C63,0))))))+IF(AND(I32&gt;5000,I32&lt;=20000),IF(B53&lt;=A59,I32*D59+E59,IF(B53=A60,I32*D60+E60,IF(B53=A61,I32*D61+E61,IF(B53=A62,I32*D62+E62,IF(B53&gt;=A63,I32*D63+E63,0))))))+IF(I32&gt;20000,IF(B53&lt;=A59,I32*F59,IF(B53=A60,I32*F60,IF(B53=A61,I32*F61,IF(B53=A62,I32*F62,IF(B53&gt;=A63,I32*F63,0)))))))</f>
        <v>0</v>
      </c>
      <c r="I50" s="659"/>
      <c r="J50" s="395" t="s">
        <v>256</v>
      </c>
      <c r="K50" s="387">
        <f>IF(H34=0,0,K49*H34)</f>
        <v>0</v>
      </c>
      <c r="L50" s="653"/>
      <c r="M50" s="654"/>
      <c r="N50" s="414"/>
      <c r="O50" s="414"/>
      <c r="P50" s="414"/>
      <c r="Q50" s="414"/>
      <c r="R50" s="414"/>
      <c r="S50" s="414"/>
      <c r="U50" s="645"/>
    </row>
    <row r="51" spans="1:21" ht="16.5" thickBot="1">
      <c r="A51" s="357" t="s">
        <v>54</v>
      </c>
      <c r="B51" s="592"/>
      <c r="C51" s="592"/>
      <c r="D51" s="593"/>
      <c r="E51" s="569"/>
      <c r="F51" s="330" t="str">
        <f>IF(F49="","","Intérêts Emprunts Crédit Auto :")</f>
        <v/>
      </c>
      <c r="G51" s="347"/>
      <c r="H51" s="658">
        <f>K50</f>
        <v>0</v>
      </c>
      <c r="I51" s="659"/>
      <c r="J51" s="649" t="s">
        <v>258</v>
      </c>
      <c r="K51" s="649"/>
      <c r="L51" s="649"/>
      <c r="M51" s="650"/>
      <c r="N51" s="414"/>
      <c r="O51" s="414"/>
      <c r="P51" s="414"/>
      <c r="Q51" s="414"/>
      <c r="R51" s="414"/>
      <c r="S51" s="414"/>
      <c r="U51" s="645"/>
    </row>
    <row r="52" spans="1:21" ht="15.75">
      <c r="A52" s="357" t="s">
        <v>56</v>
      </c>
      <c r="B52" s="590"/>
      <c r="C52" s="590"/>
      <c r="D52" s="591"/>
      <c r="E52" s="569"/>
      <c r="F52" s="330" t="str">
        <f>IF(F49="","","Frais de Péage :")</f>
        <v/>
      </c>
      <c r="G52" s="347"/>
      <c r="H52" s="658">
        <f>IF(H49=0,0,K53*K52)</f>
        <v>0</v>
      </c>
      <c r="I52" s="659"/>
      <c r="J52" s="390" t="s">
        <v>259</v>
      </c>
      <c r="K52" s="426">
        <f>K18*2</f>
        <v>0</v>
      </c>
      <c r="L52" s="651" t="s">
        <v>271</v>
      </c>
      <c r="M52" s="652"/>
      <c r="N52" s="414"/>
      <c r="O52" s="414"/>
      <c r="P52" s="414"/>
      <c r="Q52" s="414"/>
      <c r="R52" s="414"/>
      <c r="S52" s="414"/>
      <c r="U52" s="645"/>
    </row>
    <row r="53" spans="1:21" ht="15.75" thickBot="1">
      <c r="A53" s="359" t="s">
        <v>55</v>
      </c>
      <c r="B53" s="588"/>
      <c r="C53" s="588"/>
      <c r="D53" s="589"/>
      <c r="E53" s="667"/>
      <c r="F53" s="393" t="s">
        <v>262</v>
      </c>
      <c r="G53" s="396"/>
      <c r="H53" s="660">
        <f>+SUM(H50:I52)</f>
        <v>0</v>
      </c>
      <c r="I53" s="661"/>
      <c r="J53" s="391" t="s">
        <v>260</v>
      </c>
      <c r="K53" s="427"/>
      <c r="L53" s="653"/>
      <c r="M53" s="654"/>
      <c r="N53" s="414"/>
      <c r="O53" s="414"/>
      <c r="P53" s="414"/>
      <c r="Q53" s="414"/>
      <c r="R53" s="414"/>
      <c r="S53" s="414"/>
      <c r="U53" s="645"/>
    </row>
    <row r="54" spans="1:21" ht="15.75" thickBot="1">
      <c r="A54" s="662"/>
      <c r="B54" s="646"/>
      <c r="C54" s="646"/>
      <c r="D54" s="646"/>
      <c r="E54" s="646"/>
      <c r="F54" s="646"/>
      <c r="G54" s="646"/>
      <c r="H54" s="646"/>
      <c r="I54" s="647"/>
      <c r="J54" s="662"/>
      <c r="K54" s="646"/>
      <c r="L54" s="646"/>
      <c r="M54" s="647"/>
      <c r="N54" s="414"/>
      <c r="O54" s="414"/>
      <c r="P54" s="414"/>
      <c r="Q54" s="414"/>
      <c r="R54" s="414"/>
      <c r="S54" s="414"/>
      <c r="U54" s="645"/>
    </row>
    <row r="55" spans="1:21" ht="30" customHeight="1" thickBot="1">
      <c r="A55" s="663" t="s">
        <v>275</v>
      </c>
      <c r="B55" s="664"/>
      <c r="C55" s="664"/>
      <c r="D55" s="664"/>
      <c r="E55" s="664"/>
      <c r="F55" s="664"/>
      <c r="G55" s="664"/>
      <c r="H55" s="664"/>
      <c r="I55" s="664"/>
      <c r="J55" s="655" t="s">
        <v>282</v>
      </c>
      <c r="K55" s="656"/>
      <c r="L55" s="656"/>
      <c r="M55" s="657"/>
      <c r="N55" s="414"/>
      <c r="O55" s="414"/>
      <c r="P55" s="414"/>
      <c r="Q55" s="414"/>
      <c r="R55" s="414"/>
      <c r="S55" s="414"/>
      <c r="U55" s="645"/>
    </row>
    <row r="56" spans="1:21" ht="15.75" thickBot="1">
      <c r="A56" s="568"/>
      <c r="B56" s="568"/>
      <c r="C56" s="568"/>
      <c r="D56" s="568"/>
      <c r="E56" s="568"/>
      <c r="F56" s="568"/>
      <c r="G56" s="568"/>
      <c r="H56" s="568"/>
      <c r="I56" s="568"/>
      <c r="J56" s="568"/>
      <c r="K56" s="568"/>
      <c r="L56" s="568"/>
      <c r="M56" s="568"/>
      <c r="N56" s="414"/>
      <c r="O56" s="414"/>
      <c r="P56" s="414"/>
      <c r="Q56" s="414"/>
      <c r="R56" s="414"/>
      <c r="S56" s="414"/>
      <c r="U56" s="645"/>
    </row>
    <row r="57" spans="1:21" ht="19.5" thickBot="1">
      <c r="A57" s="745" t="str">
        <f>Admin!A91</f>
        <v>BAREME KM  (Valable pour votre déclaration )</v>
      </c>
      <c r="B57" s="746"/>
      <c r="C57" s="746"/>
      <c r="D57" s="746"/>
      <c r="E57" s="746"/>
      <c r="F57" s="747"/>
      <c r="G57" s="408" t="str">
        <f>IF(Admin!A116="","",Admin!A116)</f>
        <v/>
      </c>
      <c r="H57" s="681" t="s">
        <v>263</v>
      </c>
      <c r="I57" s="738"/>
      <c r="J57" s="738"/>
      <c r="K57" s="738"/>
      <c r="L57" s="738"/>
      <c r="M57" s="682"/>
      <c r="N57" s="414"/>
      <c r="O57" s="414"/>
      <c r="P57" s="414"/>
      <c r="Q57" s="414"/>
      <c r="R57" s="414"/>
      <c r="S57" s="414"/>
      <c r="U57" s="645"/>
    </row>
    <row r="58" spans="1:21" ht="15.75" customHeight="1" thickBot="1">
      <c r="A58" s="748" t="str">
        <f>Admin!A92</f>
        <v>Puissance administrative</v>
      </c>
      <c r="B58" s="601"/>
      <c r="C58" s="228" t="str">
        <f>Admin!C92</f>
        <v>Jusqu’à 5 000 km</v>
      </c>
      <c r="D58" s="600" t="str">
        <f>Admin!D92</f>
        <v>De 5 001 km à 20 000 km</v>
      </c>
      <c r="E58" s="601"/>
      <c r="F58" s="406" t="str">
        <f>Admin!F92</f>
        <v>Au-delà de 20 000 km</v>
      </c>
      <c r="G58" s="409" t="str">
        <f>IF(Admin!A117="","",Admin!A117)</f>
        <v/>
      </c>
      <c r="H58" s="648" t="s">
        <v>274</v>
      </c>
      <c r="I58" s="649"/>
      <c r="J58" s="649"/>
      <c r="K58" s="649"/>
      <c r="L58" s="649"/>
      <c r="M58" s="650"/>
      <c r="N58" s="414"/>
      <c r="O58" s="414"/>
      <c r="P58" s="414"/>
      <c r="Q58" s="414"/>
      <c r="R58" s="414"/>
      <c r="S58" s="414"/>
      <c r="U58" s="645"/>
    </row>
    <row r="59" spans="1:21" ht="16.5" customHeight="1" thickBot="1">
      <c r="A59" s="749">
        <f>Admin!A93</f>
        <v>3</v>
      </c>
      <c r="B59" s="599"/>
      <c r="C59" s="229">
        <f>Admin!C93</f>
        <v>0.41</v>
      </c>
      <c r="D59" s="230">
        <f>Admin!D93</f>
        <v>0.245</v>
      </c>
      <c r="E59" s="331">
        <f>Admin!E93</f>
        <v>824</v>
      </c>
      <c r="F59" s="407">
        <f>Admin!F93</f>
        <v>0.28599999999999998</v>
      </c>
      <c r="G59" s="409"/>
      <c r="H59" s="788" t="s">
        <v>264</v>
      </c>
      <c r="I59" s="789"/>
      <c r="J59" s="789"/>
      <c r="K59" s="428">
        <f>K18*0.9</f>
        <v>0</v>
      </c>
      <c r="L59" s="757" t="s">
        <v>270</v>
      </c>
      <c r="M59" s="758"/>
      <c r="N59" s="414"/>
      <c r="O59" s="414"/>
      <c r="P59" s="414"/>
      <c r="Q59" s="414"/>
      <c r="R59" s="414"/>
      <c r="S59" s="414"/>
      <c r="U59" s="645"/>
    </row>
    <row r="60" spans="1:21" ht="16.5" customHeight="1" thickBot="1">
      <c r="A60" s="750">
        <f>Admin!A94</f>
        <v>4</v>
      </c>
      <c r="B60" s="609"/>
      <c r="C60" s="229">
        <f>Admin!C94</f>
        <v>0.49299999999999999</v>
      </c>
      <c r="D60" s="230">
        <f>Admin!D94</f>
        <v>0.27700000000000002</v>
      </c>
      <c r="E60" s="331">
        <f>Admin!E94</f>
        <v>1082</v>
      </c>
      <c r="F60" s="407">
        <f>Admin!F94</f>
        <v>0.33200000000000002</v>
      </c>
      <c r="G60" s="409"/>
      <c r="H60" s="790" t="s">
        <v>268</v>
      </c>
      <c r="I60" s="791"/>
      <c r="J60" s="791"/>
      <c r="K60" s="436" t="s">
        <v>265</v>
      </c>
      <c r="L60" s="436" t="s">
        <v>266</v>
      </c>
      <c r="M60" s="437" t="s">
        <v>267</v>
      </c>
      <c r="N60" s="414"/>
      <c r="O60" s="414"/>
      <c r="P60" s="414"/>
      <c r="Q60" s="414"/>
      <c r="R60" s="414"/>
      <c r="S60" s="414"/>
      <c r="U60" s="645"/>
    </row>
    <row r="61" spans="1:21" ht="16.5" customHeight="1" thickBot="1">
      <c r="A61" s="750">
        <f>Admin!A95</f>
        <v>5</v>
      </c>
      <c r="B61" s="609"/>
      <c r="C61" s="229">
        <f>Admin!C95</f>
        <v>0.54300000000000004</v>
      </c>
      <c r="D61" s="230">
        <f>Admin!D95</f>
        <v>0.30499999999999999</v>
      </c>
      <c r="E61" s="331">
        <f>Admin!E95</f>
        <v>1188</v>
      </c>
      <c r="F61" s="407">
        <f>Admin!F95</f>
        <v>0.36399999999999999</v>
      </c>
      <c r="G61" s="409"/>
      <c r="H61" s="790"/>
      <c r="I61" s="791"/>
      <c r="J61" s="791"/>
      <c r="K61" s="438"/>
      <c r="L61" s="438"/>
      <c r="M61" s="439"/>
      <c r="N61" s="414"/>
      <c r="O61" s="414"/>
      <c r="P61" s="414"/>
      <c r="Q61" s="414"/>
      <c r="R61" s="414"/>
      <c r="S61" s="414"/>
      <c r="U61" s="645"/>
    </row>
    <row r="62" spans="1:21" ht="16.5" customHeight="1" thickBot="1">
      <c r="A62" s="750">
        <f>Admin!A96</f>
        <v>6</v>
      </c>
      <c r="B62" s="609"/>
      <c r="C62" s="229">
        <f>Admin!C96</f>
        <v>0.56799999999999995</v>
      </c>
      <c r="D62" s="230">
        <f>Admin!D96</f>
        <v>0.32</v>
      </c>
      <c r="E62" s="331">
        <f>Admin!E96</f>
        <v>1244</v>
      </c>
      <c r="F62" s="407">
        <f>Admin!F96</f>
        <v>0.38200000000000001</v>
      </c>
      <c r="G62" s="409"/>
      <c r="H62" s="743" t="s">
        <v>269</v>
      </c>
      <c r="I62" s="744"/>
      <c r="J62" s="744"/>
      <c r="K62" s="440">
        <f>IF(C66-K61&lt;0,0,C66-K61)</f>
        <v>4.6500000000000004</v>
      </c>
      <c r="L62" s="755" t="str">
        <f>IF(K61&gt;C66,"Part Empl &gt; Valeur du Panier Jrnl","")</f>
        <v/>
      </c>
      <c r="M62" s="756"/>
      <c r="N62" s="414"/>
      <c r="O62" s="414"/>
      <c r="P62" s="414"/>
      <c r="Q62" s="414"/>
      <c r="R62" s="414"/>
      <c r="S62" s="414"/>
      <c r="U62" s="645"/>
    </row>
    <row r="63" spans="1:21" ht="16.5" customHeight="1" thickBot="1">
      <c r="A63" s="751">
        <f>Admin!A97</f>
        <v>7</v>
      </c>
      <c r="B63" s="607"/>
      <c r="C63" s="229">
        <f>Admin!C97</f>
        <v>0.59499999999999997</v>
      </c>
      <c r="D63" s="230">
        <f>Admin!D97</f>
        <v>0.33700000000000002</v>
      </c>
      <c r="E63" s="331">
        <f>Admin!E97</f>
        <v>1288</v>
      </c>
      <c r="F63" s="407">
        <f>Admin!F97</f>
        <v>0.40100000000000002</v>
      </c>
      <c r="G63" s="409"/>
      <c r="H63" s="784" t="s">
        <v>279</v>
      </c>
      <c r="I63" s="785"/>
      <c r="J63" s="785"/>
      <c r="K63" s="438"/>
      <c r="L63" s="651" t="s">
        <v>271</v>
      </c>
      <c r="M63" s="752"/>
      <c r="N63" s="414"/>
      <c r="O63" s="414"/>
      <c r="P63" s="414"/>
      <c r="Q63" s="414"/>
      <c r="R63" s="414"/>
      <c r="S63" s="414"/>
      <c r="U63" s="645"/>
    </row>
    <row r="64" spans="1:21" ht="15.75" customHeight="1" thickBot="1">
      <c r="A64" s="713" t="str">
        <f>Admin!A98</f>
        <v>(d représente la distance parcourue)</v>
      </c>
      <c r="B64" s="714"/>
      <c r="C64" s="714"/>
      <c r="D64" s="714"/>
      <c r="E64" s="714"/>
      <c r="F64" s="715"/>
      <c r="G64" s="409"/>
      <c r="H64" s="786" t="s">
        <v>262</v>
      </c>
      <c r="I64" s="787"/>
      <c r="J64" s="787"/>
      <c r="K64" s="412">
        <f>IF(K59="",0,K59*K62+K63)</f>
        <v>0</v>
      </c>
      <c r="L64" s="753"/>
      <c r="M64" s="754"/>
      <c r="N64" s="414"/>
      <c r="O64" s="414"/>
      <c r="P64" s="414"/>
      <c r="Q64" s="414"/>
      <c r="R64" s="414"/>
      <c r="S64" s="414"/>
      <c r="U64" s="645"/>
    </row>
    <row r="65" spans="1:21" ht="16.5" customHeight="1" thickBot="1">
      <c r="A65" s="775" t="str">
        <f>Admin!A99</f>
        <v>Plafond des frais réels :</v>
      </c>
      <c r="B65" s="586"/>
      <c r="C65" s="233">
        <f>Admin!C99</f>
        <v>12305</v>
      </c>
      <c r="D65" s="776" t="str">
        <f>IF(Admin!A102="","",Admin!A102)</f>
        <v>Barème de calcul de vos IK (pour véhicule 4 roues uniquement) 
Barème définitif 2018 (valable pour la déclaration de vos revenus perçus en 2017)</v>
      </c>
      <c r="E65" s="777"/>
      <c r="F65" s="778"/>
      <c r="G65" s="409"/>
      <c r="H65" s="648" t="s">
        <v>281</v>
      </c>
      <c r="I65" s="649"/>
      <c r="J65" s="649"/>
      <c r="K65" s="649"/>
      <c r="L65" s="649"/>
      <c r="M65" s="650"/>
      <c r="N65" s="414"/>
      <c r="O65" s="414"/>
      <c r="P65" s="414"/>
      <c r="Q65" s="414"/>
      <c r="R65" s="414"/>
      <c r="S65" s="414"/>
      <c r="U65" s="645"/>
    </row>
    <row r="66" spans="1:21" ht="15.75" customHeight="1" thickBot="1">
      <c r="A66" s="782" t="str">
        <f>Admin!A100</f>
        <v>Panier Repas Journalier :</v>
      </c>
      <c r="B66" s="783"/>
      <c r="C66" s="410">
        <f>Admin!C100</f>
        <v>4.6500000000000004</v>
      </c>
      <c r="D66" s="779"/>
      <c r="E66" s="780"/>
      <c r="F66" s="781"/>
      <c r="G66" s="411"/>
      <c r="H66" s="763" t="s">
        <v>262</v>
      </c>
      <c r="I66" s="764"/>
      <c r="J66" s="764"/>
      <c r="K66" s="429"/>
      <c r="L66" s="765" t="s">
        <v>293</v>
      </c>
      <c r="M66" s="766"/>
      <c r="N66" s="414"/>
      <c r="O66" s="414"/>
      <c r="P66" s="414"/>
      <c r="Q66" s="414"/>
      <c r="R66" s="414"/>
      <c r="S66" s="414"/>
      <c r="U66" s="645"/>
    </row>
    <row r="67" spans="1:21" ht="15.75" thickBot="1">
      <c r="A67" s="716"/>
      <c r="B67" s="716"/>
      <c r="C67" s="716"/>
      <c r="D67" s="716"/>
      <c r="E67" s="716"/>
      <c r="F67" s="716"/>
      <c r="G67" s="716"/>
      <c r="H67" s="716"/>
      <c r="I67" s="716"/>
      <c r="J67" s="716"/>
      <c r="K67" s="716"/>
      <c r="L67" s="716"/>
      <c r="M67" s="716"/>
      <c r="N67" s="414"/>
      <c r="O67" s="414"/>
      <c r="P67" s="414"/>
      <c r="Q67" s="414"/>
      <c r="R67" s="414"/>
      <c r="S67" s="414"/>
      <c r="U67" s="645"/>
    </row>
    <row r="68" spans="1:21" ht="18.75">
      <c r="A68" s="767" t="str">
        <f>"Au vue de votre saisie (éléments renseignés), vous êtes en mesure de déduire au titre de vos frais réels "&amp;'simul impots'!F1&amp;" le montant ci-contre :"</f>
        <v>Au vue de votre saisie (éléments renseignés), vous êtes en mesure de déduire au titre de vos frais réels  le montant ci-contre :</v>
      </c>
      <c r="B68" s="768"/>
      <c r="C68" s="768"/>
      <c r="D68" s="768"/>
      <c r="E68" s="768"/>
      <c r="F68" s="768"/>
      <c r="G68" s="441"/>
      <c r="H68" s="769">
        <f>IF(H44+H53+K64+K66&lt;C65,ROUND(H44+H53+K64+K66,0),C65)</f>
        <v>0</v>
      </c>
      <c r="I68" s="770"/>
      <c r="J68" s="770"/>
      <c r="K68" s="770"/>
      <c r="L68" s="770"/>
      <c r="M68" s="771"/>
      <c r="N68" s="414"/>
      <c r="O68" s="414"/>
      <c r="P68" s="414"/>
      <c r="Q68" s="414"/>
      <c r="R68" s="414"/>
      <c r="S68" s="414"/>
      <c r="U68" s="645"/>
    </row>
    <row r="69" spans="1:21" ht="15" customHeight="1">
      <c r="A69" s="759" t="s">
        <v>280</v>
      </c>
      <c r="B69" s="760"/>
      <c r="C69" s="760"/>
      <c r="D69" s="760"/>
      <c r="E69" s="760"/>
      <c r="F69" s="760"/>
      <c r="G69" s="347"/>
      <c r="H69" s="772" t="s">
        <v>272</v>
      </c>
      <c r="I69" s="772"/>
      <c r="J69" s="213"/>
      <c r="K69" s="581"/>
      <c r="L69" s="581"/>
      <c r="M69" s="582"/>
      <c r="N69" s="414"/>
      <c r="O69" s="414"/>
      <c r="P69" s="414"/>
      <c r="Q69" s="414"/>
      <c r="R69" s="414"/>
      <c r="S69" s="414"/>
      <c r="U69" s="645"/>
    </row>
    <row r="70" spans="1:21" ht="15.75" thickBot="1">
      <c r="A70" s="761"/>
      <c r="B70" s="762"/>
      <c r="C70" s="762"/>
      <c r="D70" s="762"/>
      <c r="E70" s="762"/>
      <c r="F70" s="762"/>
      <c r="G70" s="442"/>
      <c r="H70" s="773" t="s">
        <v>273</v>
      </c>
      <c r="I70" s="773"/>
      <c r="J70" s="427"/>
      <c r="K70" s="666"/>
      <c r="L70" s="666"/>
      <c r="M70" s="774"/>
      <c r="N70" s="414"/>
      <c r="O70" s="414"/>
      <c r="P70" s="414"/>
      <c r="Q70" s="414"/>
      <c r="R70" s="414"/>
      <c r="S70" s="414"/>
      <c r="U70" s="645"/>
    </row>
    <row r="71" spans="1:21" ht="15" hidden="1" customHeight="1">
      <c r="A71" s="413"/>
      <c r="B71" s="413"/>
      <c r="C71" s="413"/>
      <c r="D71" s="413"/>
      <c r="E71" s="413"/>
      <c r="F71" s="2"/>
      <c r="G71" s="336"/>
      <c r="H71" s="355"/>
      <c r="I71" s="2"/>
      <c r="J71" s="2"/>
      <c r="K71" s="2"/>
      <c r="L71" s="2"/>
      <c r="M71" s="2"/>
      <c r="N71" s="414"/>
      <c r="O71" s="414"/>
      <c r="P71" s="414"/>
      <c r="Q71" s="414"/>
      <c r="R71" s="414"/>
      <c r="S71" s="414"/>
    </row>
    <row r="72" spans="1:21" ht="15" hidden="1" customHeight="1"/>
    <row r="73" spans="1:21" ht="15" hidden="1" customHeight="1"/>
    <row r="74" spans="1:21" ht="15" hidden="1" customHeight="1"/>
    <row r="75" spans="1:21" ht="15" hidden="1" customHeight="1"/>
    <row r="76" spans="1:21" ht="15" hidden="1" customHeight="1"/>
    <row r="77" spans="1:21" ht="15" hidden="1" customHeight="1"/>
    <row r="78" spans="1:21" ht="15" hidden="1" customHeight="1"/>
    <row r="79" spans="1:21" ht="15" hidden="1" customHeight="1"/>
    <row r="80" spans="1:21"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sheetData>
  <sheetProtection password="E874" sheet="1" objects="1" scenarios="1"/>
  <mergeCells count="123">
    <mergeCell ref="L63:M64"/>
    <mergeCell ref="L62:M62"/>
    <mergeCell ref="L59:M59"/>
    <mergeCell ref="L43:M44"/>
    <mergeCell ref="L52:M53"/>
    <mergeCell ref="A69:F70"/>
    <mergeCell ref="H66:J66"/>
    <mergeCell ref="L66:M66"/>
    <mergeCell ref="A68:F68"/>
    <mergeCell ref="A67:M67"/>
    <mergeCell ref="H68:M68"/>
    <mergeCell ref="H69:I69"/>
    <mergeCell ref="H70:I70"/>
    <mergeCell ref="K69:M70"/>
    <mergeCell ref="A65:B65"/>
    <mergeCell ref="D65:F66"/>
    <mergeCell ref="A66:B66"/>
    <mergeCell ref="H63:J63"/>
    <mergeCell ref="H64:J64"/>
    <mergeCell ref="H65:M65"/>
    <mergeCell ref="H57:M57"/>
    <mergeCell ref="H58:M58"/>
    <mergeCell ref="H59:J59"/>
    <mergeCell ref="H60:J61"/>
    <mergeCell ref="H62:J62"/>
    <mergeCell ref="A57:F57"/>
    <mergeCell ref="A58:B58"/>
    <mergeCell ref="D58:E58"/>
    <mergeCell ref="A59:B59"/>
    <mergeCell ref="A60:B60"/>
    <mergeCell ref="A61:B61"/>
    <mergeCell ref="A62:B62"/>
    <mergeCell ref="A63:B63"/>
    <mergeCell ref="A64:F64"/>
    <mergeCell ref="A33:M33"/>
    <mergeCell ref="C34:D34"/>
    <mergeCell ref="H34:I34"/>
    <mergeCell ref="J34:M34"/>
    <mergeCell ref="A37:I37"/>
    <mergeCell ref="K27:M27"/>
    <mergeCell ref="K32:M32"/>
    <mergeCell ref="K31:M31"/>
    <mergeCell ref="K30:M30"/>
    <mergeCell ref="B36:C36"/>
    <mergeCell ref="E27:F27"/>
    <mergeCell ref="A27:D27"/>
    <mergeCell ref="H28:J28"/>
    <mergeCell ref="H27:J27"/>
    <mergeCell ref="I29:J29"/>
    <mergeCell ref="I30:J30"/>
    <mergeCell ref="I31:J31"/>
    <mergeCell ref="B52:D52"/>
    <mergeCell ref="J39:M39"/>
    <mergeCell ref="J35:M35"/>
    <mergeCell ref="J48:M48"/>
    <mergeCell ref="J45:M45"/>
    <mergeCell ref="J42:M42"/>
    <mergeCell ref="A1:M1"/>
    <mergeCell ref="C12:D12"/>
    <mergeCell ref="C11:D11"/>
    <mergeCell ref="C9:D9"/>
    <mergeCell ref="J4:K4"/>
    <mergeCell ref="L4:M4"/>
    <mergeCell ref="C4:D4"/>
    <mergeCell ref="A2:M2"/>
    <mergeCell ref="I32:J32"/>
    <mergeCell ref="I18:J18"/>
    <mergeCell ref="I4:I5"/>
    <mergeCell ref="A3:M3"/>
    <mergeCell ref="I19:M24"/>
    <mergeCell ref="C5:D5"/>
    <mergeCell ref="E28:F28"/>
    <mergeCell ref="E4:E24"/>
    <mergeCell ref="H4:H24"/>
    <mergeCell ref="A25:M26"/>
    <mergeCell ref="C10:D10"/>
    <mergeCell ref="C19:D19"/>
    <mergeCell ref="B4:B24"/>
    <mergeCell ref="K28:M28"/>
    <mergeCell ref="K18:M18"/>
    <mergeCell ref="L40:M41"/>
    <mergeCell ref="J54:M54"/>
    <mergeCell ref="D36:I36"/>
    <mergeCell ref="E38:E44"/>
    <mergeCell ref="E47:E53"/>
    <mergeCell ref="H42:I42"/>
    <mergeCell ref="H43:I43"/>
    <mergeCell ref="H44:I44"/>
    <mergeCell ref="H51:I51"/>
    <mergeCell ref="H49:I49"/>
    <mergeCell ref="H41:I41"/>
    <mergeCell ref="H50:I50"/>
    <mergeCell ref="H38:I38"/>
    <mergeCell ref="H40:I40"/>
    <mergeCell ref="H39:I39"/>
    <mergeCell ref="H47:I47"/>
    <mergeCell ref="H48:I48"/>
    <mergeCell ref="A45:I45"/>
    <mergeCell ref="A46:I46"/>
    <mergeCell ref="U3:U70"/>
    <mergeCell ref="A56:M56"/>
    <mergeCell ref="A35:I35"/>
    <mergeCell ref="J36:M36"/>
    <mergeCell ref="L49:M50"/>
    <mergeCell ref="J51:M51"/>
    <mergeCell ref="J55:M55"/>
    <mergeCell ref="H52:I52"/>
    <mergeCell ref="H53:I53"/>
    <mergeCell ref="A54:I54"/>
    <mergeCell ref="A55:I55"/>
    <mergeCell ref="B53:D53"/>
    <mergeCell ref="B44:D44"/>
    <mergeCell ref="A47:D47"/>
    <mergeCell ref="B48:D48"/>
    <mergeCell ref="B49:D49"/>
    <mergeCell ref="B50:D50"/>
    <mergeCell ref="B42:D42"/>
    <mergeCell ref="B43:D43"/>
    <mergeCell ref="A38:D38"/>
    <mergeCell ref="B39:D39"/>
    <mergeCell ref="B40:D40"/>
    <mergeCell ref="B41:D41"/>
    <mergeCell ref="B51:D51"/>
  </mergeCells>
  <conditionalFormatting sqref="L6:M17">
    <cfRule type="expression" dxfId="18" priority="20">
      <formula>$I6=""</formula>
    </cfRule>
    <cfRule type="expression" dxfId="17" priority="21">
      <formula>$I6&lt;&gt;""</formula>
    </cfRule>
  </conditionalFormatting>
  <conditionalFormatting sqref="K66">
    <cfRule type="expression" dxfId="16" priority="19">
      <formula>$K$66&lt;&gt;""</formula>
    </cfRule>
  </conditionalFormatting>
  <conditionalFormatting sqref="A45:M54 A55:I55">
    <cfRule type="expression" dxfId="15" priority="6">
      <formula>$F$47=""</formula>
    </cfRule>
  </conditionalFormatting>
  <conditionalFormatting sqref="B30">
    <cfRule type="expression" dxfId="14" priority="17">
      <formula>$A$30&lt;&gt;""</formula>
    </cfRule>
  </conditionalFormatting>
  <conditionalFormatting sqref="B31">
    <cfRule type="expression" dxfId="13" priority="16">
      <formula>$A$31&lt;&gt;""</formula>
    </cfRule>
  </conditionalFormatting>
  <conditionalFormatting sqref="D29">
    <cfRule type="expression" dxfId="12" priority="15">
      <formula>AND($B$29&lt;&gt;"",$D$28&lt;&gt;"")</formula>
    </cfRule>
  </conditionalFormatting>
  <conditionalFormatting sqref="D30">
    <cfRule type="expression" dxfId="11" priority="14">
      <formula>AND($B$30&lt;&gt;"",$D$28&lt;&gt;"")</formula>
    </cfRule>
  </conditionalFormatting>
  <conditionalFormatting sqref="D31">
    <cfRule type="expression" dxfId="10" priority="13">
      <formula>AND($B$31&lt;&gt;"",$D$28&lt;&gt;"")</formula>
    </cfRule>
  </conditionalFormatting>
  <conditionalFormatting sqref="A25:M67">
    <cfRule type="expression" dxfId="9" priority="5">
      <formula>OR($C$6="",$D$6="",$C$9&lt;&gt;"",$K$6="",$K$7="",$K$8="",$K$9="",$K$10="",$K$11="",$K$12="",$K$13="",$K$14="",$K$15="",$K$16="",$K$17="")</formula>
    </cfRule>
  </conditionalFormatting>
  <conditionalFormatting sqref="C10:D24 E4:F24">
    <cfRule type="expression" dxfId="8" priority="11">
      <formula>OR($C$9&lt;&gt;"",$K$6="",$K$7="",$K$8="",$K$9="",$K$10="",$K$11="",$K$12="",$K$13="",$K$14="",$K$15="",$K$16="",$K$17="")</formula>
    </cfRule>
  </conditionalFormatting>
  <conditionalFormatting sqref="L63">
    <cfRule type="expression" dxfId="7" priority="10">
      <formula>OR($C$6="",$D$6="",$C$9="Saisie simplifiée recquise.",$C$9="Doublon dans la saisie",$K$6="",$K$7="",$K$8="",$K$9="",$K$10="",$K$11="",$K$12="",$K$13="",$K$14="",$K$15="",$K$16="",$K$17="")</formula>
    </cfRule>
  </conditionalFormatting>
  <conditionalFormatting sqref="H4:M24">
    <cfRule type="expression" dxfId="6" priority="3">
      <formula>OR($C$6="",$D$6="",$C$9&lt;&gt;"")</formula>
    </cfRule>
  </conditionalFormatting>
  <conditionalFormatting sqref="J39:M39">
    <cfRule type="expression" dxfId="5" priority="12">
      <formula>$J$39&lt;&gt;""</formula>
    </cfRule>
  </conditionalFormatting>
  <conditionalFormatting sqref="J48:M48">
    <cfRule type="expression" dxfId="4" priority="18">
      <formula>$J$48&lt;&gt;""</formula>
    </cfRule>
  </conditionalFormatting>
  <conditionalFormatting sqref="L62:M62">
    <cfRule type="expression" dxfId="3" priority="4">
      <formula>$L$62&lt;&gt;""</formula>
    </cfRule>
  </conditionalFormatting>
  <conditionalFormatting sqref="I6:M17">
    <cfRule type="expression" dxfId="2" priority="7">
      <formula>AND($I6&lt;&gt;"",$K6&lt;&gt;$L6+$M6,$K6&lt;&gt;0,$L6&lt;&gt;"",$M6&lt;&gt;"")</formula>
    </cfRule>
  </conditionalFormatting>
  <conditionalFormatting sqref="A33:M67">
    <cfRule type="expression" dxfId="1" priority="2">
      <formula>$B$29=""</formula>
    </cfRule>
  </conditionalFormatting>
  <conditionalFormatting sqref="A45:M67">
    <cfRule type="expression" dxfId="0" priority="1">
      <formula>$B$44=""</formula>
    </cfRule>
  </conditionalFormatting>
  <dataValidations count="2">
    <dataValidation type="list" allowBlank="1" showInputMessage="1" showErrorMessage="1" sqref="C6:C8">
      <formula1>",Adresse Domicile,Adresse Travail,Véhicule"</formula1>
    </dataValidation>
    <dataValidation type="list" allowBlank="1" showInputMessage="1" showErrorMessage="1" sqref="D29:D31">
      <formula1>"oui,non"</formula1>
    </dataValidation>
  </dataValidations>
  <hyperlinks>
    <hyperlink ref="D28" r:id="rId1" display="http://impotsurlerevenu.org/comprendre-le-calcul-de-l-impot/936-frais-kilometriques-depassement-des-40-kms-.php"/>
    <hyperlink ref="K31" r:id="rId2" display="Frais Profs (Service Public)"/>
    <hyperlink ref="K29" r:id="rId3"/>
    <hyperlink ref="L29" r:id="rId4"/>
    <hyperlink ref="M29" r:id="rId5"/>
    <hyperlink ref="K32" r:id="rId6" display="Frais Profs (Impots.Gouv)"/>
  </hyperlinks>
  <pageMargins left="0.70866141732283472" right="0.70866141732283472" top="0.74803149606299213" bottom="0.74803149606299213" header="0.31496062992125984" footer="0.31496062992125984"/>
  <pageSetup paperSize="9" scale="43" orientation="landscape" verticalDpi="0" r:id="rId7"/>
  <drawing r:id="rId8"/>
  <legacyDrawing r:id="rId9"/>
</worksheet>
</file>

<file path=xl/worksheets/sheet4.xml><?xml version="1.0" encoding="utf-8"?>
<worksheet xmlns="http://schemas.openxmlformats.org/spreadsheetml/2006/main" xmlns:r="http://schemas.openxmlformats.org/officeDocument/2006/relationships">
  <sheetPr codeName="Feuil4"/>
  <dimension ref="A1:G173"/>
  <sheetViews>
    <sheetView showGridLines="0" showRowColHeaders="0" topLeftCell="A132" workbookViewId="0">
      <selection activeCell="F161" sqref="F161"/>
    </sheetView>
  </sheetViews>
  <sheetFormatPr baseColWidth="10" defaultRowHeight="15"/>
  <cols>
    <col min="1" max="1" width="18.5703125" customWidth="1"/>
    <col min="2" max="2" width="81.140625" bestFit="1" customWidth="1"/>
    <col min="7" max="7" width="98.140625" customWidth="1"/>
  </cols>
  <sheetData>
    <row r="1" spans="1:1">
      <c r="A1" s="471" t="s">
        <v>311</v>
      </c>
    </row>
    <row r="2" spans="1:1">
      <c r="A2" s="291" t="s">
        <v>312</v>
      </c>
    </row>
    <row r="3" spans="1:1">
      <c r="A3" s="471" t="s">
        <v>93</v>
      </c>
    </row>
    <row r="4" spans="1:1">
      <c r="A4" s="299"/>
    </row>
    <row r="5" spans="1:1">
      <c r="A5" s="300" t="s">
        <v>144</v>
      </c>
    </row>
    <row r="6" spans="1:1">
      <c r="A6" s="301" t="s">
        <v>94</v>
      </c>
    </row>
    <row r="7" spans="1:1">
      <c r="A7" s="301" t="s">
        <v>95</v>
      </c>
    </row>
    <row r="8" spans="1:1">
      <c r="A8" s="301" t="s">
        <v>96</v>
      </c>
    </row>
    <row r="9" spans="1:1">
      <c r="A9" s="301" t="s">
        <v>97</v>
      </c>
    </row>
    <row r="10" spans="1:1">
      <c r="A10" s="301" t="s">
        <v>98</v>
      </c>
    </row>
    <row r="11" spans="1:1">
      <c r="A11" s="301" t="s">
        <v>99</v>
      </c>
    </row>
    <row r="12" spans="1:1">
      <c r="A12" s="301" t="s">
        <v>100</v>
      </c>
    </row>
    <row r="13" spans="1:1">
      <c r="A13" s="301" t="s">
        <v>101</v>
      </c>
    </row>
    <row r="14" spans="1:1">
      <c r="A14" s="301" t="s">
        <v>102</v>
      </c>
    </row>
    <row r="15" spans="1:1">
      <c r="A15" s="301" t="s">
        <v>103</v>
      </c>
    </row>
    <row r="16" spans="1:1">
      <c r="A16" s="300" t="s">
        <v>145</v>
      </c>
    </row>
    <row r="17" spans="1:1">
      <c r="A17" s="301" t="s">
        <v>104</v>
      </c>
    </row>
    <row r="18" spans="1:1">
      <c r="A18" s="301" t="s">
        <v>105</v>
      </c>
    </row>
    <row r="19" spans="1:1">
      <c r="A19" s="301" t="s">
        <v>106</v>
      </c>
    </row>
    <row r="20" spans="1:1">
      <c r="A20" s="301" t="s">
        <v>107</v>
      </c>
    </row>
    <row r="21" spans="1:1">
      <c r="A21" s="301" t="s">
        <v>108</v>
      </c>
    </row>
    <row r="22" spans="1:1">
      <c r="A22" s="301" t="s">
        <v>109</v>
      </c>
    </row>
    <row r="23" spans="1:1">
      <c r="A23" s="301" t="s">
        <v>110</v>
      </c>
    </row>
    <row r="24" spans="1:1">
      <c r="A24" s="301" t="s">
        <v>111</v>
      </c>
    </row>
    <row r="25" spans="1:1">
      <c r="A25" s="301" t="s">
        <v>112</v>
      </c>
    </row>
    <row r="26" spans="1:1">
      <c r="A26" s="301" t="s">
        <v>113</v>
      </c>
    </row>
    <row r="27" spans="1:1">
      <c r="A27" s="301" t="s">
        <v>114</v>
      </c>
    </row>
    <row r="28" spans="1:1">
      <c r="A28" s="301" t="s">
        <v>115</v>
      </c>
    </row>
    <row r="29" spans="1:1">
      <c r="A29" s="301" t="s">
        <v>116</v>
      </c>
    </row>
    <row r="30" spans="1:1">
      <c r="A30" s="300" t="s">
        <v>313</v>
      </c>
    </row>
    <row r="31" spans="1:1">
      <c r="A31" s="301" t="s">
        <v>104</v>
      </c>
    </row>
    <row r="32" spans="1:1">
      <c r="A32" s="301" t="s">
        <v>117</v>
      </c>
    </row>
    <row r="33" spans="1:1">
      <c r="A33" s="301" t="s">
        <v>118</v>
      </c>
    </row>
    <row r="34" spans="1:1">
      <c r="A34" s="301" t="s">
        <v>119</v>
      </c>
    </row>
    <row r="35" spans="1:1">
      <c r="A35" s="301" t="s">
        <v>120</v>
      </c>
    </row>
    <row r="36" spans="1:1">
      <c r="A36" s="301" t="s">
        <v>121</v>
      </c>
    </row>
    <row r="37" spans="1:1">
      <c r="A37" s="301" t="s">
        <v>122</v>
      </c>
    </row>
    <row r="38" spans="1:1">
      <c r="A38" s="301" t="s">
        <v>123</v>
      </c>
    </row>
    <row r="39" spans="1:1">
      <c r="A39" s="301" t="s">
        <v>124</v>
      </c>
    </row>
    <row r="40" spans="1:1">
      <c r="A40" s="301" t="s">
        <v>125</v>
      </c>
    </row>
    <row r="41" spans="1:1">
      <c r="A41" s="301" t="s">
        <v>126</v>
      </c>
    </row>
    <row r="42" spans="1:1">
      <c r="A42" s="301" t="s">
        <v>127</v>
      </c>
    </row>
    <row r="43" spans="1:1">
      <c r="A43" s="301" t="s">
        <v>128</v>
      </c>
    </row>
    <row r="44" spans="1:1">
      <c r="A44" s="300" t="s">
        <v>143</v>
      </c>
    </row>
    <row r="45" spans="1:1">
      <c r="A45" s="300" t="s">
        <v>314</v>
      </c>
    </row>
    <row r="46" spans="1:1">
      <c r="A46" s="301" t="s">
        <v>129</v>
      </c>
    </row>
    <row r="47" spans="1:1">
      <c r="A47" s="301" t="s">
        <v>130</v>
      </c>
    </row>
    <row r="48" spans="1:1">
      <c r="A48" s="301" t="s">
        <v>131</v>
      </c>
    </row>
    <row r="49" spans="1:1">
      <c r="A49" s="301" t="s">
        <v>305</v>
      </c>
    </row>
    <row r="50" spans="1:1">
      <c r="A50" s="301" t="s">
        <v>132</v>
      </c>
    </row>
    <row r="51" spans="1:1">
      <c r="A51" s="301" t="s">
        <v>133</v>
      </c>
    </row>
    <row r="52" spans="1:1">
      <c r="A52" s="300" t="s">
        <v>315</v>
      </c>
    </row>
    <row r="53" spans="1:1">
      <c r="A53" s="301" t="s">
        <v>134</v>
      </c>
    </row>
    <row r="54" spans="1:1">
      <c r="A54" s="301" t="s">
        <v>135</v>
      </c>
    </row>
    <row r="55" spans="1:1">
      <c r="A55" s="301" t="s">
        <v>136</v>
      </c>
    </row>
    <row r="56" spans="1:1">
      <c r="A56" s="301" t="s">
        <v>132</v>
      </c>
    </row>
    <row r="57" spans="1:1">
      <c r="A57" s="301" t="s">
        <v>306</v>
      </c>
    </row>
    <row r="58" spans="1:1">
      <c r="A58" s="301" t="s">
        <v>137</v>
      </c>
    </row>
    <row r="59" spans="1:1">
      <c r="A59" s="301" t="s">
        <v>133</v>
      </c>
    </row>
    <row r="60" spans="1:1">
      <c r="A60" s="301" t="s">
        <v>130</v>
      </c>
    </row>
    <row r="61" spans="1:1">
      <c r="A61" s="301" t="s">
        <v>138</v>
      </c>
    </row>
    <row r="62" spans="1:1">
      <c r="A62" s="301" t="s">
        <v>139</v>
      </c>
    </row>
    <row r="63" spans="1:1">
      <c r="A63" s="301" t="s">
        <v>140</v>
      </c>
    </row>
    <row r="64" spans="1:1">
      <c r="A64" s="301" t="s">
        <v>141</v>
      </c>
    </row>
    <row r="65" spans="1:1">
      <c r="A65" s="301" t="s">
        <v>142</v>
      </c>
    </row>
    <row r="66" spans="1:1">
      <c r="A66" s="300" t="s">
        <v>316</v>
      </c>
    </row>
    <row r="67" spans="1:1">
      <c r="A67" s="301" t="s">
        <v>203</v>
      </c>
    </row>
    <row r="68" spans="1:1">
      <c r="A68" s="301" t="s">
        <v>204</v>
      </c>
    </row>
    <row r="69" spans="1:1">
      <c r="A69" s="301" t="s">
        <v>205</v>
      </c>
    </row>
    <row r="70" spans="1:1">
      <c r="A70" s="301" t="s">
        <v>206</v>
      </c>
    </row>
    <row r="71" spans="1:1">
      <c r="A71" s="300" t="s">
        <v>317</v>
      </c>
    </row>
    <row r="72" spans="1:1">
      <c r="A72" s="301" t="s">
        <v>146</v>
      </c>
    </row>
    <row r="73" spans="1:1">
      <c r="A73" s="301" t="s">
        <v>147</v>
      </c>
    </row>
    <row r="74" spans="1:1">
      <c r="A74" s="301" t="s">
        <v>148</v>
      </c>
    </row>
    <row r="75" spans="1:1">
      <c r="A75" s="301" t="s">
        <v>149</v>
      </c>
    </row>
    <row r="76" spans="1:1">
      <c r="A76" s="301" t="s">
        <v>150</v>
      </c>
    </row>
    <row r="77" spans="1:1">
      <c r="A77" s="301" t="s">
        <v>151</v>
      </c>
    </row>
    <row r="78" spans="1:1">
      <c r="A78" s="301" t="s">
        <v>152</v>
      </c>
    </row>
    <row r="79" spans="1:1">
      <c r="A79" s="301" t="s">
        <v>153</v>
      </c>
    </row>
    <row r="80" spans="1:1">
      <c r="A80" s="301" t="s">
        <v>154</v>
      </c>
    </row>
    <row r="81" spans="1:1">
      <c r="A81" s="301" t="s">
        <v>155</v>
      </c>
    </row>
    <row r="82" spans="1:1">
      <c r="A82" s="301" t="s">
        <v>156</v>
      </c>
    </row>
    <row r="83" spans="1:1">
      <c r="A83" s="301" t="s">
        <v>157</v>
      </c>
    </row>
    <row r="84" spans="1:1">
      <c r="A84" s="301" t="s">
        <v>158</v>
      </c>
    </row>
    <row r="85" spans="1:1">
      <c r="A85" s="301" t="s">
        <v>159</v>
      </c>
    </row>
    <row r="86" spans="1:1">
      <c r="A86" s="301" t="s">
        <v>160</v>
      </c>
    </row>
    <row r="87" spans="1:1">
      <c r="A87" s="301" t="s">
        <v>161</v>
      </c>
    </row>
    <row r="88" spans="1:1">
      <c r="A88" s="300" t="s">
        <v>318</v>
      </c>
    </row>
    <row r="89" spans="1:1">
      <c r="A89" s="301" t="s">
        <v>162</v>
      </c>
    </row>
    <row r="90" spans="1:1">
      <c r="A90" s="301" t="s">
        <v>163</v>
      </c>
    </row>
    <row r="91" spans="1:1">
      <c r="A91" s="301" t="s">
        <v>164</v>
      </c>
    </row>
    <row r="92" spans="1:1">
      <c r="A92" s="301" t="s">
        <v>319</v>
      </c>
    </row>
    <row r="93" spans="1:1">
      <c r="A93" s="301" t="s">
        <v>165</v>
      </c>
    </row>
    <row r="94" spans="1:1">
      <c r="A94" s="301" t="s">
        <v>166</v>
      </c>
    </row>
    <row r="95" spans="1:1">
      <c r="A95" s="301" t="s">
        <v>167</v>
      </c>
    </row>
    <row r="96" spans="1:1">
      <c r="A96" s="301" t="s">
        <v>168</v>
      </c>
    </row>
    <row r="98" spans="1:1">
      <c r="A98" s="291" t="s">
        <v>169</v>
      </c>
    </row>
    <row r="99" spans="1:1">
      <c r="A99" s="299"/>
    </row>
    <row r="100" spans="1:1">
      <c r="A100" s="300" t="s">
        <v>320</v>
      </c>
    </row>
    <row r="101" spans="1:1">
      <c r="A101" s="301" t="s">
        <v>321</v>
      </c>
    </row>
    <row r="102" spans="1:1">
      <c r="A102" s="301" t="s">
        <v>170</v>
      </c>
    </row>
    <row r="103" spans="1:1">
      <c r="A103" s="301" t="s">
        <v>307</v>
      </c>
    </row>
    <row r="104" spans="1:1">
      <c r="A104" s="301" t="s">
        <v>308</v>
      </c>
    </row>
    <row r="105" spans="1:1">
      <c r="A105" s="301" t="s">
        <v>322</v>
      </c>
    </row>
    <row r="106" spans="1:1">
      <c r="A106" s="301" t="s">
        <v>323</v>
      </c>
    </row>
    <row r="107" spans="1:1">
      <c r="A107" s="301" t="s">
        <v>171</v>
      </c>
    </row>
    <row r="108" spans="1:1">
      <c r="A108" s="301" t="s">
        <v>172</v>
      </c>
    </row>
    <row r="109" spans="1:1">
      <c r="A109" s="301" t="s">
        <v>324</v>
      </c>
    </row>
    <row r="110" spans="1:1">
      <c r="A110" s="301" t="s">
        <v>325</v>
      </c>
    </row>
    <row r="111" spans="1:1">
      <c r="A111" s="301" t="s">
        <v>326</v>
      </c>
    </row>
    <row r="112" spans="1:1">
      <c r="A112" s="301" t="s">
        <v>327</v>
      </c>
    </row>
    <row r="113" spans="1:1">
      <c r="A113" s="301" t="s">
        <v>173</v>
      </c>
    </row>
    <row r="114" spans="1:1">
      <c r="A114" s="301" t="s">
        <v>328</v>
      </c>
    </row>
    <row r="115" spans="1:1">
      <c r="A115" s="301" t="s">
        <v>174</v>
      </c>
    </row>
    <row r="116" spans="1:1">
      <c r="A116" s="301" t="s">
        <v>329</v>
      </c>
    </row>
    <row r="117" spans="1:1">
      <c r="A117" s="301" t="s">
        <v>330</v>
      </c>
    </row>
    <row r="118" spans="1:1">
      <c r="A118" s="301" t="s">
        <v>331</v>
      </c>
    </row>
    <row r="120" spans="1:1">
      <c r="A120" s="291" t="s">
        <v>175</v>
      </c>
    </row>
    <row r="121" spans="1:1">
      <c r="A121" s="299"/>
    </row>
    <row r="122" spans="1:1">
      <c r="A122" s="300" t="s">
        <v>283</v>
      </c>
    </row>
    <row r="123" spans="1:1">
      <c r="A123" s="301" t="s">
        <v>309</v>
      </c>
    </row>
    <row r="124" spans="1:1">
      <c r="A124" s="301" t="s">
        <v>347</v>
      </c>
    </row>
    <row r="125" spans="1:1">
      <c r="A125" s="301" t="s">
        <v>332</v>
      </c>
    </row>
    <row r="126" spans="1:1">
      <c r="A126" s="301" t="s">
        <v>348</v>
      </c>
    </row>
    <row r="128" spans="1:1">
      <c r="A128" s="291" t="s">
        <v>333</v>
      </c>
    </row>
    <row r="129" spans="1:2">
      <c r="A129" s="471" t="s">
        <v>334</v>
      </c>
    </row>
    <row r="131" spans="1:2" ht="30">
      <c r="A131" s="472" t="s">
        <v>192</v>
      </c>
    </row>
    <row r="133" spans="1:2" ht="42.75">
      <c r="A133" s="792" t="s">
        <v>176</v>
      </c>
      <c r="B133" s="473" t="s">
        <v>193</v>
      </c>
    </row>
    <row r="134" spans="1:2">
      <c r="A134" s="792"/>
      <c r="B134" s="302"/>
    </row>
    <row r="135" spans="1:2">
      <c r="A135" s="792"/>
      <c r="B135" s="473" t="s">
        <v>194</v>
      </c>
    </row>
    <row r="136" spans="1:2">
      <c r="A136" s="792"/>
      <c r="B136" s="302"/>
    </row>
    <row r="137" spans="1:2">
      <c r="A137" s="792"/>
      <c r="B137" s="473" t="s">
        <v>335</v>
      </c>
    </row>
    <row r="138" spans="1:2">
      <c r="A138" s="792"/>
      <c r="B138" s="302"/>
    </row>
    <row r="139" spans="1:2" ht="28.5">
      <c r="A139" s="792"/>
      <c r="B139" s="473" t="s">
        <v>294</v>
      </c>
    </row>
    <row r="140" spans="1:2">
      <c r="A140" s="792"/>
      <c r="B140" s="302"/>
    </row>
    <row r="141" spans="1:2" ht="28.5">
      <c r="A141" s="792"/>
      <c r="B141" s="473" t="s">
        <v>195</v>
      </c>
    </row>
    <row r="142" spans="1:2">
      <c r="A142" s="792"/>
      <c r="B142" s="473"/>
    </row>
    <row r="143" spans="1:2" ht="42.75">
      <c r="A143" s="792"/>
      <c r="B143" s="473" t="s">
        <v>295</v>
      </c>
    </row>
    <row r="144" spans="1:2">
      <c r="A144" s="475" t="s">
        <v>196</v>
      </c>
      <c r="B144" s="475" t="s">
        <v>336</v>
      </c>
    </row>
    <row r="145" spans="1:7">
      <c r="A145" s="475" t="s">
        <v>177</v>
      </c>
      <c r="B145" s="476" t="s">
        <v>178</v>
      </c>
    </row>
    <row r="146" spans="1:7">
      <c r="A146" s="475" t="s">
        <v>179</v>
      </c>
      <c r="B146" s="475" t="s">
        <v>181</v>
      </c>
    </row>
    <row r="147" spans="1:7">
      <c r="A147" s="475" t="s">
        <v>180</v>
      </c>
      <c r="B147" s="475" t="s">
        <v>337</v>
      </c>
    </row>
    <row r="148" spans="1:7">
      <c r="A148" s="475" t="s">
        <v>182</v>
      </c>
      <c r="B148" s="475" t="s">
        <v>349</v>
      </c>
    </row>
    <row r="149" spans="1:7">
      <c r="A149" s="475" t="s">
        <v>183</v>
      </c>
      <c r="B149" s="476" t="s">
        <v>238</v>
      </c>
    </row>
    <row r="150" spans="1:7">
      <c r="A150" s="474" t="s">
        <v>184</v>
      </c>
      <c r="B150" s="473" t="s">
        <v>197</v>
      </c>
    </row>
    <row r="151" spans="1:7">
      <c r="A151" s="471" t="s">
        <v>338</v>
      </c>
    </row>
    <row r="153" spans="1:7">
      <c r="A153" s="471" t="s">
        <v>339</v>
      </c>
    </row>
    <row r="154" spans="1:7">
      <c r="A154" s="299"/>
    </row>
    <row r="155" spans="1:7">
      <c r="A155" s="300" t="s">
        <v>186</v>
      </c>
    </row>
    <row r="156" spans="1:7">
      <c r="A156" s="300" t="s">
        <v>187</v>
      </c>
    </row>
    <row r="157" spans="1:7">
      <c r="A157" s="300" t="s">
        <v>340</v>
      </c>
    </row>
    <row r="158" spans="1:7" ht="15" customHeight="1">
      <c r="G158" s="332" t="s">
        <v>92</v>
      </c>
    </row>
    <row r="159" spans="1:7">
      <c r="A159" s="471" t="s">
        <v>341</v>
      </c>
      <c r="C159">
        <v>16</v>
      </c>
      <c r="D159">
        <v>10</v>
      </c>
      <c r="E159">
        <v>2017</v>
      </c>
      <c r="F159" t="str">
        <f>C159&amp;"/"&amp;D159&amp;"/"&amp;E159</f>
        <v>16/10/2017</v>
      </c>
    </row>
    <row r="160" spans="1:7">
      <c r="A160" s="299"/>
      <c r="F160" s="304">
        <f>'simul impots'!B78</f>
        <v>43143</v>
      </c>
    </row>
    <row r="161" spans="1:6">
      <c r="A161" s="300" t="s">
        <v>185</v>
      </c>
      <c r="F161" t="str">
        <f>IF(F159-F160&gt;0,"MAJ","")</f>
        <v/>
      </c>
    </row>
    <row r="162" spans="1:6">
      <c r="A162" s="300" t="s">
        <v>189</v>
      </c>
    </row>
    <row r="163" spans="1:6">
      <c r="A163" s="300" t="s">
        <v>188</v>
      </c>
    </row>
    <row r="165" spans="1:6">
      <c r="A165" s="471" t="s">
        <v>342</v>
      </c>
    </row>
    <row r="166" spans="1:6">
      <c r="A166" s="299"/>
    </row>
    <row r="167" spans="1:6">
      <c r="A167" s="300" t="s">
        <v>143</v>
      </c>
    </row>
    <row r="168" spans="1:6">
      <c r="A168" s="300" t="s">
        <v>190</v>
      </c>
    </row>
    <row r="169" spans="1:6">
      <c r="A169" s="300" t="s">
        <v>207</v>
      </c>
    </row>
    <row r="171" spans="1:6">
      <c r="A171" s="303" t="s">
        <v>343</v>
      </c>
    </row>
    <row r="173" spans="1:6">
      <c r="A173" s="471" t="s">
        <v>344</v>
      </c>
    </row>
  </sheetData>
  <mergeCells count="1">
    <mergeCell ref="A133:A143"/>
  </mergeCells>
  <hyperlinks>
    <hyperlink ref="A2" r:id="rId1" tooltip="English" display="http://www.excel-pratique.com/en/downloads.php"/>
    <hyperlink ref="A5" r:id="rId2" display="http://www.excel-pratique.com/fr/cours.php"/>
    <hyperlink ref="A6" r:id="rId3" display="http://www.excel-pratique.com/fr/cours/excel_bases.php"/>
    <hyperlink ref="A7" r:id="rId4" display="http://www.excel-pratique.com/fr/cours/excel_tableaux_bordures.php"/>
    <hyperlink ref="A8" r:id="rId5" display="http://www.excel-pratique.com/fr/cours/excel_format_et_mise_en_forme.php"/>
    <hyperlink ref="A9" r:id="rId6" display="http://www.excel-pratique.com/fr/cours/excel_insertion_formes.php"/>
    <hyperlink ref="A10" r:id="rId7" display="http://www.excel-pratique.com/fr/cours/excel_recopie_incrementee.php"/>
    <hyperlink ref="A11" r:id="rId8" display="http://www.excel-pratique.com/fr/cours/excel_formules_calculs_fonctions.php"/>
    <hyperlink ref="A12" r:id="rId9" display="http://www.excel-pratique.com/fr/cours/excel_insertion_graphiques.php"/>
    <hyperlink ref="A13" r:id="rId10" display="http://www.excel-pratique.com/fr/cours/excel_mises_en_forme_conditionnelles.php"/>
    <hyperlink ref="A14" r:id="rId11" display="http://www.excel-pratique.com/fr/cours/excel_mise_en_page.php"/>
    <hyperlink ref="A15" r:id="rId12" display="http://www.excel-pratique.com/fr/cours/excel_base_de_donnees_facturation.php"/>
    <hyperlink ref="A16" r:id="rId13" display="http://www.excel-pratique.com/fr/vba.php"/>
    <hyperlink ref="A17" r:id="rId14" display="http://www.excel-pratique.com/fr/vba/introduction.php"/>
    <hyperlink ref="A18" r:id="rId15" display="http://www.excel-pratique.com/fr/vba/selections.php"/>
    <hyperlink ref="A19" r:id="rId16" display="http://www.excel-pratique.com/fr/vba/variables.php"/>
    <hyperlink ref="A20" r:id="rId17" display="http://www.excel-pratique.com/fr/vba/conditions.php"/>
    <hyperlink ref="A21" r:id="rId18" display="http://www.excel-pratique.com/fr/vba/boucles.php"/>
    <hyperlink ref="A22" r:id="rId19" display="http://www.excel-pratique.com/fr/vba/procedures_fonctions.php"/>
    <hyperlink ref="A23" r:id="rId20" display="http://www.excel-pratique.com/fr/vba/boites_de_dialogue.php"/>
    <hyperlink ref="A24" r:id="rId21" display="http://www.excel-pratique.com/fr/vba/evenements_classeur.php"/>
    <hyperlink ref="A25" r:id="rId22" display="http://www.excel-pratique.com/fr/vba/userform.php"/>
    <hyperlink ref="A26" r:id="rId23" display="http://www.excel-pratique.com/fr/vba/tableaux_vba.php"/>
    <hyperlink ref="A27" r:id="rId24" display="http://www.excel-pratique.com/fr/vba/fonctions_vba.php"/>
    <hyperlink ref="A28" r:id="rId25" display="http://www.excel-pratique.com/fr/vba/developper_une_application_complexe.php"/>
    <hyperlink ref="A29" r:id="rId26" display="http://www.excel-pratique.com/fr/vba/astuces_vba.php"/>
    <hyperlink ref="A30" r:id="rId27" display="http://www.excel-pratique.com/fr/formation.php"/>
    <hyperlink ref="A31" r:id="rId28" display="http://www.excel-pratique.com/fr/formation/introduction_formation.php"/>
    <hyperlink ref="A32" r:id="rId29" display="http://www.excel-pratique.com/fr/formation/affichage_jours.php"/>
    <hyperlink ref="A33" r:id="rId30" display="http://www.excel-pratique.com/fr/formation/mise_en_forme_calendrier.php"/>
    <hyperlink ref="A34" r:id="rId31" display="http://www.excel-pratique.com/fr/formation/choix_annee.php"/>
    <hyperlink ref="A35" r:id="rId32" display="http://www.excel-pratique.com/fr/formation/creation_userform.php"/>
    <hyperlink ref="A36" r:id="rId33" display="http://www.excel-pratique.com/fr/formation/enregistrement_donnees.php"/>
    <hyperlink ref="A37" r:id="rId34" display="http://www.excel-pratique.com/fr/formation/affichage_donnees.php"/>
    <hyperlink ref="A38" r:id="rId35" display="http://www.excel-pratique.com/fr/formation/remplissage_userform.php"/>
    <hyperlink ref="A39" r:id="rId36" display="http://www.excel-pratique.com/fr/formation/modification_donnees.php"/>
    <hyperlink ref="A40" r:id="rId37" display="http://www.excel-pratique.com/fr/formation/suppression_donnees.php"/>
    <hyperlink ref="A41" r:id="rId38" display="http://www.excel-pratique.com/fr/formation/affichage_notes_du_jour.php"/>
    <hyperlink ref="A42" r:id="rId39" display="http://www.excel-pratique.com/fr/formation/exercice_revision.php"/>
    <hyperlink ref="A43" r:id="rId40" display="http://www.excel-pratique.com/fr/formation/dernieres_recommandations.php"/>
    <hyperlink ref="A44" r:id="rId41" display="https://forum.excel-pratique.com/"/>
    <hyperlink ref="A45" r:id="rId42" display="http://www.excel-pratique.com/fr/fonctions.php"/>
    <hyperlink ref="A46" r:id="rId43" display="http://www.excel-pratique.com/fr/fonctions/excel-date-et-heure.php"/>
    <hyperlink ref="A47" r:id="rId44" display="http://www.excel-pratique.com/fr/fonctions/excel-logique.php"/>
    <hyperlink ref="A48" r:id="rId45" display="http://www.excel-pratique.com/fr/fonctions/excel-math-et-trigo.php"/>
    <hyperlink ref="A49" r:id="rId46" display="http://www.excel-pratique.com/fr/fonctions/excel-recherche-et-reference.php"/>
    <hyperlink ref="A50" r:id="rId47" display="http://www.excel-pratique.com/fr/fonctions/excel-statistiques.php"/>
    <hyperlink ref="A51" r:id="rId48" display="http://www.excel-pratique.com/fr/fonctions/excel-texte.php"/>
    <hyperlink ref="A52" r:id="rId49" display="http://www.excel-pratique.com/fr/index_des_fonctions.php"/>
    <hyperlink ref="A53" r:id="rId50" display="http://www.excel-pratique.com/fr/index_des_fonctions/finances.php"/>
    <hyperlink ref="A54" r:id="rId51" display="http://www.excel-pratique.com/fr/index_des_fonctions/date_et_heure.php"/>
    <hyperlink ref="A55" r:id="rId52" display="http://www.excel-pratique.com/fr/index_des_fonctions/math_et_trigo.php"/>
    <hyperlink ref="A56" r:id="rId53" display="http://www.excel-pratique.com/fr/index_des_fonctions/statistiques.php"/>
    <hyperlink ref="A57" r:id="rId54" display="http://www.excel-pratique.com/fr/index_des_fonctions/recherche_et_matrices.php"/>
    <hyperlink ref="A58" r:id="rId55" display="http://www.excel-pratique.com/fr/index_des_fonctions/base_de_donnees.php"/>
    <hyperlink ref="A59" r:id="rId56" display="http://www.excel-pratique.com/fr/index_des_fonctions/texte.php"/>
    <hyperlink ref="A60" r:id="rId57" display="http://www.excel-pratique.com/fr/index_des_fonctions/logique.php"/>
    <hyperlink ref="A61" r:id="rId58" display="http://www.excel-pratique.com/fr/index_des_fonctions/informations.php"/>
    <hyperlink ref="A62" r:id="rId59" display="http://www.excel-pratique.com/fr/index_des_fonctions/ingenierie.php"/>
    <hyperlink ref="A63" r:id="rId60" display="http://www.excel-pratique.com/fr/index_des_fonctions/cube.php"/>
    <hyperlink ref="A64" r:id="rId61" display="http://www.excel-pratique.com/fr/index_des_fonctions/compatibilite.php"/>
    <hyperlink ref="A65" r:id="rId62" display="http://www.excel-pratique.com/fr/index_des_fonctions/web.php"/>
    <hyperlink ref="A66" r:id="rId63" display="http://www.excel-pratique.com/fr/fonctions-complementaires.php"/>
    <hyperlink ref="A67" r:id="rId64" display="http://www.excel-pratique.com/fr/fonctions-complementaires/fonctions-complementaires.php"/>
    <hyperlink ref="A68" r:id="rId65" display="http://www.excel-pratique.com/fr/fonctions-complementaires/fonctions-excel.php"/>
    <hyperlink ref="A69" r:id="rId66" display="http://www.excel-pratique.com/fr/fonctions-complementaires/fonctions-vba.php"/>
    <hyperlink ref="A70" r:id="rId67" display="http://www.excel-pratique.com/fr/fonctions-complementaires/installation-macro-complementaire.php"/>
    <hyperlink ref="A71" r:id="rId68" display="http://www.excel-pratique.com/fr/telechargements.php"/>
    <hyperlink ref="A72" r:id="rId69" display="http://www.excel-pratique.com/fr/telechargements/bd-finance-c3.php"/>
    <hyperlink ref="A73" r:id="rId70" display="http://www.excel-pratique.com/fr/telechargements/budget-gestion-de-comptes-c4.php"/>
    <hyperlink ref="A74" r:id="rId71" display="http://www.excel-pratique.com/fr/telechargements/calendriers-c5.php"/>
    <hyperlink ref="A75" r:id="rId72" display="http://www.excel-pratique.com/fr/telechargements/comptabilite-c6.php"/>
    <hyperlink ref="A76" r:id="rId73" display="http://www.excel-pratique.com/fr/telechargements/convertisseurs-c7.php"/>
    <hyperlink ref="A77" r:id="rId74" display="http://www.excel-pratique.com/fr/telechargements/gestion-commerciale-c8.php"/>
    <hyperlink ref="A78" r:id="rId75" display="http://www.excel-pratique.com/fr/telechargements/gestion-du-personnel-c9.php"/>
    <hyperlink ref="A79" r:id="rId76" display="http://www.excel-pratique.com/fr/telechargements/jeux-c10.php"/>
    <hyperlink ref="A80" r:id="rId77" display="http://www.excel-pratique.com/fr/telechargements/loisirs-c11.php"/>
    <hyperlink ref="A81" r:id="rId78" display="http://www.excel-pratique.com/fr/telechargements/outils-de-gestion-c12.php"/>
    <hyperlink ref="A82" r:id="rId79" display="http://www.excel-pratique.com/fr/telechargements/outils-mathematiques-c13.php"/>
    <hyperlink ref="A83" r:id="rId80" display="http://www.excel-pratique.com/fr/telechargements/plannings-c14.php"/>
    <hyperlink ref="A84" r:id="rId81" display="http://www.excel-pratique.com/fr/telechargements/sante-c15.php"/>
    <hyperlink ref="A85" r:id="rId82" display="http://www.excel-pratique.com/fr/telechargements/sport-c16.php"/>
    <hyperlink ref="A86" r:id="rId83" display="http://www.excel-pratique.com/fr/telechargements/utilitaires-c17.php"/>
    <hyperlink ref="A87" r:id="rId84" display="http://www.excel-pratique.com/fr/telechargements/inclassables-c18.php"/>
    <hyperlink ref="A88" r:id="rId85" display="http://www.excel-pratique.com/fr/logiciels.php"/>
    <hyperlink ref="A89" r:id="rId86" display="http://www.excel-pratique.com/fr/logiciels/gestion-stock.php"/>
    <hyperlink ref="A90" r:id="rId87" display="http://www.excel-pratique.com/fr/logiciels/gestion-contacts.php"/>
    <hyperlink ref="A91" r:id="rId88" display="http://www.excel-pratique.com/fr/logiciels/logiciel_de_comptabilite.php"/>
    <hyperlink ref="A92" r:id="rId89" display="http://www.excel-pratique.com/fr/logiciels/gestion-projets.php"/>
    <hyperlink ref="A93" r:id="rId90" display="http://www.excel-pratique.com/fr/logiciels/planning_pratique.php"/>
    <hyperlink ref="A94" r:id="rId91" display="http://www.excel-pratique.com/fr/logiciels/calendrier_pratique.php"/>
    <hyperlink ref="A95" r:id="rId92" display="http://www.excel-pratique.com/fr/logiciels/protection_pratique.php"/>
    <hyperlink ref="A96" r:id="rId93" display="http://www.excel-pratique.com/fr/logiciels/snake.php"/>
    <hyperlink ref="A98" r:id="rId94" display="http://www.excel-pratique.com/fr/telechargements/telechargements.php"/>
    <hyperlink ref="A100" r:id="rId95" display="http://www.excel-pratique.com/fr/telechargements/doc-excel-c0.php"/>
    <hyperlink ref="A101" r:id="rId96" display="http://www.excel-pratique.com/fr/telechargements/doc-vba-c1.php"/>
    <hyperlink ref="A102" r:id="rId97" display="http://www.excel-pratique.com/fr/telechargements/doc-calc-c2.php"/>
    <hyperlink ref="A103" r:id="rId98" display="http://www.excel-pratique.com/fr/telechargements/bd-finance-c3.php"/>
    <hyperlink ref="A104" r:id="rId99" display="http://www.excel-pratique.com/fr/telechargements/budget-gestion-de-comptes-c4.php"/>
    <hyperlink ref="A105" r:id="rId100" display="http://www.excel-pratique.com/fr/telechargements/calendriers-c5.php"/>
    <hyperlink ref="A106" r:id="rId101" display="http://www.excel-pratique.com/fr/telechargements/comptabilite-c6.php"/>
    <hyperlink ref="A107" r:id="rId102" display="http://www.excel-pratique.com/fr/telechargements/convertisseurs-c7.php"/>
    <hyperlink ref="A108" r:id="rId103" display="http://www.excel-pratique.com/fr/telechargements/gestion-commerciale-c8.php"/>
    <hyperlink ref="A109" r:id="rId104" display="http://www.excel-pratique.com/fr/telechargements/gestion-du-personnel-c9.php"/>
    <hyperlink ref="A110" r:id="rId105" display="http://www.excel-pratique.com/fr/telechargements/jeux-c10.php"/>
    <hyperlink ref="A111" r:id="rId106" display="http://www.excel-pratique.com/fr/telechargements/loisirs-c11.php"/>
    <hyperlink ref="A112" r:id="rId107" display="http://www.excel-pratique.com/fr/telechargements/outils-de-gestion-c12.php"/>
    <hyperlink ref="A113" r:id="rId108" display="http://www.excel-pratique.com/fr/telechargements/outils-mathematiques-c13.php"/>
    <hyperlink ref="A114" r:id="rId109" display="http://www.excel-pratique.com/fr/telechargements/plannings-c14.php"/>
    <hyperlink ref="A115" r:id="rId110" display="http://www.excel-pratique.com/fr/telechargements/sante-c15.php"/>
    <hyperlink ref="A116" r:id="rId111" display="http://www.excel-pratique.com/fr/telechargements/sport-c16.php"/>
    <hyperlink ref="A117" r:id="rId112" display="http://www.excel-pratique.com/fr/telechargements/utilitaires-c17.php"/>
    <hyperlink ref="A118" r:id="rId113" display="http://www.excel-pratique.com/fr/telechargements/inclassables-c18.php"/>
    <hyperlink ref="A120" r:id="rId114" display="http://www.excel-pratique.com/fr/logiciels.php"/>
    <hyperlink ref="A122" r:id="rId115" display="http://www.excel-pratique.com/fr/logiciels/gestion-stock.php?stats=menu"/>
    <hyperlink ref="A123" r:id="rId116" display="http://www.excel-pratique.com/fr/logiciels/gestion-contacts.php?stats=menu"/>
    <hyperlink ref="A124" r:id="rId117" display="http://www.excel-pratique.com/fr/logiciels/gestion-projets.php?stats=menu"/>
    <hyperlink ref="A125" r:id="rId118" display="http://www.excel-pratique.com/fr/logiciels/logiciel_de_comptabilite.php?menu"/>
    <hyperlink ref="A126" r:id="rId119" display="http://www.excel-pratique.com/fr/logiciels/planning_pratique.php?ref=menu"/>
    <hyperlink ref="A128" r:id="rId120" display="http://www.excel-pratique.com/"/>
    <hyperlink ref="B145" r:id="rId121" tooltip="Voir les autres fichiers de cet auteur ..." display="http://www.excel-pratique.com/fr/telechargements/auteur-408.php"/>
    <hyperlink ref="B149" r:id="rId122" tooltip="Télécharger" display="http://www.excel-pratique.com/fr/telechargements/download.php?id=255"/>
    <hyperlink ref="A155" r:id="rId123" display="http://www.excel-pratique.com/fr/cours.php"/>
    <hyperlink ref="A156" r:id="rId124" display="http://www.excel-pratique.com/fr/vba.php"/>
    <hyperlink ref="A157" r:id="rId125" display="http://www.excel-pratique.com/fr/formation.php"/>
    <hyperlink ref="A161" r:id="rId126" display="http://www.excel-pratique.com/fr/affiliation.php"/>
    <hyperlink ref="A162" r:id="rId127" display="http://www.excel-pratique.com/fr/annonceurs.php"/>
    <hyperlink ref="A163" r:id="rId128" display="http://www.excel-pratique.com/fr/contact.php"/>
    <hyperlink ref="A167" r:id="rId129" display="https://forum.excel-pratique.com/"/>
    <hyperlink ref="A168" r:id="rId130" display="http://www.blog-excel.com/"/>
    <hyperlink ref="A169" r:id="rId131" display="http://www.excel-pratique.com/fr/livredor/livredor.php"/>
    <hyperlink ref="A171" r:id="rId132" display="http://www.excel-pratique.com/fr/contact.php?infos=1"/>
  </hyperlinks>
  <pageMargins left="0.7" right="0.7" top="0.75" bottom="0.75" header="0.3" footer="0.3"/>
  <pageSetup paperSize="9" orientation="portrait" verticalDpi="0" r:id="rId133"/>
</worksheet>
</file>

<file path=xl/worksheets/sheet5.xml><?xml version="1.0" encoding="utf-8"?>
<worksheet xmlns="http://schemas.openxmlformats.org/spreadsheetml/2006/main" xmlns:r="http://schemas.openxmlformats.org/officeDocument/2006/relationships">
  <sheetPr codeName="Feuil3">
    <pageSetUpPr fitToPage="1"/>
  </sheetPr>
  <dimension ref="A1:P104"/>
  <sheetViews>
    <sheetView showGridLines="0" showRowColHeaders="0" workbookViewId="0">
      <selection activeCell="A4" sqref="A4:F4"/>
    </sheetView>
  </sheetViews>
  <sheetFormatPr baseColWidth="10" defaultColWidth="0" defaultRowHeight="15"/>
  <cols>
    <col min="1" max="1" width="20" style="326" bestFit="1" customWidth="1"/>
    <col min="2" max="6" width="19.85546875" style="326" customWidth="1"/>
    <col min="7" max="8" width="11.42578125" style="326" customWidth="1"/>
    <col min="9" max="9" width="16" style="326" bestFit="1" customWidth="1"/>
    <col min="10" max="10" width="11.42578125" style="326" customWidth="1"/>
    <col min="11" max="11" width="27.42578125" style="326" customWidth="1"/>
    <col min="12" max="12" width="11.42578125" style="326" customWidth="1"/>
    <col min="13" max="13" width="17" style="326" customWidth="1"/>
    <col min="14" max="15" width="11.42578125" style="326" customWidth="1"/>
    <col min="16" max="16" width="13.7109375" style="326" hidden="1" customWidth="1"/>
    <col min="17" max="16384" width="11.42578125" style="326" hidden="1"/>
  </cols>
  <sheetData>
    <row r="1" spans="1:16" customFormat="1"/>
    <row r="2" spans="1:16" customFormat="1" ht="19.5" thickBot="1">
      <c r="A2" s="808" t="s">
        <v>213</v>
      </c>
      <c r="B2" s="808"/>
      <c r="C2" s="808"/>
      <c r="D2" s="808"/>
      <c r="E2" s="808"/>
      <c r="F2" s="808"/>
    </row>
    <row r="3" spans="1:16" customFormat="1" ht="18.75">
      <c r="A3" s="808" t="s">
        <v>201</v>
      </c>
      <c r="B3" s="808"/>
      <c r="C3" s="808"/>
      <c r="D3" s="808"/>
      <c r="E3" s="808"/>
      <c r="F3" s="808"/>
      <c r="I3" s="308" t="s">
        <v>299</v>
      </c>
      <c r="K3" s="832" t="s">
        <v>212</v>
      </c>
      <c r="L3" s="835" t="str">
        <f>+K12</f>
        <v>SIMUL IMPOTS</v>
      </c>
      <c r="M3" s="835"/>
      <c r="N3" s="309" t="s">
        <v>88</v>
      </c>
    </row>
    <row r="4" spans="1:16" customFormat="1" ht="18.75">
      <c r="A4" s="819" t="s">
        <v>202</v>
      </c>
      <c r="B4" s="819"/>
      <c r="C4" s="819"/>
      <c r="D4" s="819"/>
      <c r="E4" s="819"/>
      <c r="F4" s="819"/>
      <c r="H4" t="s">
        <v>345</v>
      </c>
      <c r="I4" s="856">
        <v>43143</v>
      </c>
      <c r="K4" s="833"/>
      <c r="L4" s="836" t="str">
        <f>+K13</f>
        <v>Frais Réels - détails</v>
      </c>
      <c r="M4" s="836"/>
      <c r="N4" s="310" t="s">
        <v>89</v>
      </c>
    </row>
    <row r="5" spans="1:16" customFormat="1" ht="15.75">
      <c r="A5" s="2"/>
      <c r="B5" s="2"/>
      <c r="C5" s="2"/>
      <c r="D5" s="2"/>
      <c r="E5" s="2"/>
      <c r="F5" s="2"/>
      <c r="K5" s="833"/>
      <c r="L5" s="836" t="str">
        <f>+K14</f>
        <v>Frais Réels (multi options)</v>
      </c>
      <c r="M5" s="836"/>
      <c r="N5" s="310" t="s">
        <v>211</v>
      </c>
    </row>
    <row r="6" spans="1:16" customFormat="1" ht="21.75" thickBot="1">
      <c r="A6" s="804" t="s">
        <v>71</v>
      </c>
      <c r="B6" s="804"/>
      <c r="C6" s="804"/>
      <c r="D6" s="804"/>
      <c r="E6" s="804"/>
      <c r="F6" s="804"/>
      <c r="K6" s="834"/>
      <c r="L6" s="837" t="s">
        <v>90</v>
      </c>
      <c r="M6" s="837"/>
      <c r="N6" s="311" t="s">
        <v>87</v>
      </c>
    </row>
    <row r="7" spans="1:16" customFormat="1" ht="15.75" thickBot="1">
      <c r="A7" s="2"/>
      <c r="B7" s="2"/>
      <c r="C7" s="2"/>
      <c r="D7" s="2"/>
      <c r="E7" s="2"/>
      <c r="F7" s="2"/>
      <c r="I7" s="293" t="s">
        <v>80</v>
      </c>
      <c r="J7" s="292"/>
      <c r="K7" s="292"/>
    </row>
    <row r="8" spans="1:16" customFormat="1" ht="15.75" thickBot="1">
      <c r="A8" s="123"/>
      <c r="B8" s="815" t="str">
        <f>IF('simul impots'!B140&lt;&gt;"","Déclarations Individuelles","Déclaration Individuelle")</f>
        <v>Déclaration Individuelle</v>
      </c>
      <c r="C8" s="816"/>
      <c r="D8" s="842"/>
      <c r="E8" s="843"/>
      <c r="F8" s="844"/>
      <c r="I8" s="325" t="s">
        <v>79</v>
      </c>
      <c r="J8" s="800" t="s">
        <v>209</v>
      </c>
      <c r="K8" s="800"/>
    </row>
    <row r="9" spans="1:16" customFormat="1" ht="24.75" thickBot="1">
      <c r="A9" s="124" t="s">
        <v>0</v>
      </c>
      <c r="B9" s="78" t="str">
        <f>"Salaires Mensuels Nets Imposables "&amp;'simul impots'!B136&amp;" "&amp;'simul impots'!B137</f>
        <v xml:space="preserve">Salaires Mensuels Nets Imposables  </v>
      </c>
      <c r="C9" s="75" t="str">
        <f>"Salaires Mensuels Nets Imposables "&amp;'simul impots'!B140&amp;" "&amp;'simul impots'!B141</f>
        <v xml:space="preserve">Salaires Mensuels Nets Imposables  </v>
      </c>
      <c r="D9" s="845"/>
      <c r="E9" s="846"/>
      <c r="F9" s="847"/>
      <c r="I9" s="325" t="s">
        <v>78</v>
      </c>
      <c r="J9" s="800" t="s">
        <v>210</v>
      </c>
      <c r="K9" s="800"/>
      <c r="L9" s="292"/>
    </row>
    <row r="10" spans="1:16" customFormat="1" ht="15.75" thickBot="1">
      <c r="A10" s="125" t="str">
        <f>"Janvier "&amp;'simul impots'!$F$1</f>
        <v xml:space="preserve">Janvier </v>
      </c>
      <c r="B10" s="89">
        <f>+'simul impots'!D26</f>
        <v>0</v>
      </c>
      <c r="C10" s="89">
        <f>+'simul impots'!E26</f>
        <v>0</v>
      </c>
      <c r="D10" s="845"/>
      <c r="E10" s="846"/>
      <c r="F10" s="847"/>
      <c r="I10" s="324" t="s">
        <v>77</v>
      </c>
      <c r="J10" s="324" t="s">
        <v>78</v>
      </c>
      <c r="K10" s="324" t="s">
        <v>79</v>
      </c>
      <c r="L10" s="292"/>
    </row>
    <row r="11" spans="1:16" customFormat="1" ht="15.75" thickBot="1">
      <c r="A11" s="126" t="str">
        <f>"Février "&amp;'simul impots'!$F$1</f>
        <v xml:space="preserve">Février </v>
      </c>
      <c r="B11" s="89">
        <f>+'simul impots'!D27</f>
        <v>0</v>
      </c>
      <c r="C11" s="89">
        <f>+'simul impots'!E27</f>
        <v>0</v>
      </c>
      <c r="D11" s="845"/>
      <c r="E11" s="846"/>
      <c r="F11" s="847"/>
      <c r="I11" s="316" t="s">
        <v>81</v>
      </c>
      <c r="J11" s="317" t="str">
        <f>I3</f>
        <v>XLSEVAINSE</v>
      </c>
      <c r="K11" s="318" t="s">
        <v>81</v>
      </c>
      <c r="L11" s="292"/>
      <c r="P11" s="296"/>
    </row>
    <row r="12" spans="1:16" customFormat="1" ht="15.75" thickBot="1">
      <c r="A12" s="126" t="str">
        <f>"Mars "&amp;'simul impots'!$F$1</f>
        <v xml:space="preserve">Mars </v>
      </c>
      <c r="B12" s="89">
        <f>+'simul impots'!D28</f>
        <v>0</v>
      </c>
      <c r="C12" s="89">
        <f>+'simul impots'!E28</f>
        <v>0</v>
      </c>
      <c r="D12" s="845"/>
      <c r="E12" s="846"/>
      <c r="F12" s="847"/>
      <c r="I12" s="319" t="s">
        <v>81</v>
      </c>
      <c r="J12" s="312" t="str">
        <f>IF([1]Feuil2!$B$9=[1]Admin!$H$1,[1]Admin!$H$1,"")</f>
        <v/>
      </c>
      <c r="K12" s="320" t="s">
        <v>85</v>
      </c>
      <c r="L12" s="292"/>
      <c r="M12" s="292"/>
      <c r="N12" s="292"/>
      <c r="O12" s="292"/>
      <c r="P12" s="292"/>
    </row>
    <row r="13" spans="1:16" customFormat="1" ht="15.75" thickBot="1">
      <c r="A13" s="126" t="str">
        <f>"Avril "&amp;'simul impots'!$F$1</f>
        <v xml:space="preserve">Avril </v>
      </c>
      <c r="B13" s="89">
        <f>+'simul impots'!D29</f>
        <v>0</v>
      </c>
      <c r="C13" s="89">
        <f>+'simul impots'!E29</f>
        <v>0</v>
      </c>
      <c r="D13" s="845"/>
      <c r="E13" s="846"/>
      <c r="F13" s="847"/>
      <c r="I13" s="319" t="s">
        <v>81</v>
      </c>
      <c r="J13" s="312" t="str">
        <f>IF([1]Feuil2!$B$9=[1]Admin!$H$1,[1]Admin!$H$1,"")</f>
        <v/>
      </c>
      <c r="K13" s="320" t="s">
        <v>84</v>
      </c>
      <c r="L13" s="292"/>
      <c r="M13" s="292"/>
      <c r="N13" s="292"/>
      <c r="O13" s="292"/>
      <c r="P13" s="292"/>
    </row>
    <row r="14" spans="1:16" customFormat="1" ht="15.75" thickBot="1">
      <c r="A14" s="126" t="str">
        <f>"Mai "&amp;'simul impots'!$F$1</f>
        <v xml:space="preserve">Mai </v>
      </c>
      <c r="B14" s="89">
        <f>+'simul impots'!D30</f>
        <v>0</v>
      </c>
      <c r="C14" s="89">
        <f>+'simul impots'!E30</f>
        <v>0</v>
      </c>
      <c r="D14" s="845"/>
      <c r="E14" s="846"/>
      <c r="F14" s="847"/>
      <c r="I14" s="319" t="s">
        <v>81</v>
      </c>
      <c r="J14" s="312"/>
      <c r="K14" s="320" t="s">
        <v>208</v>
      </c>
      <c r="L14" s="292"/>
      <c r="M14" s="292"/>
      <c r="N14" s="292"/>
      <c r="O14" s="292"/>
      <c r="P14" s="292"/>
    </row>
    <row r="15" spans="1:16" customFormat="1" ht="15.75" thickBot="1">
      <c r="A15" s="126" t="str">
        <f>"Juin "&amp;'simul impots'!$F$1</f>
        <v xml:space="preserve">Juin </v>
      </c>
      <c r="B15" s="89">
        <f>+'simul impots'!D31</f>
        <v>0</v>
      </c>
      <c r="C15" s="89">
        <f>+'simul impots'!E31</f>
        <v>0</v>
      </c>
      <c r="D15" s="845"/>
      <c r="E15" s="846"/>
      <c r="F15" s="847"/>
      <c r="I15" s="321" t="s">
        <v>81</v>
      </c>
      <c r="J15" s="322"/>
      <c r="K15" s="323" t="s">
        <v>91</v>
      </c>
      <c r="L15" s="292"/>
      <c r="M15" s="291"/>
      <c r="N15" s="292"/>
      <c r="O15" s="292"/>
      <c r="P15" s="292"/>
    </row>
    <row r="16" spans="1:16" customFormat="1" ht="15.75" thickBot="1">
      <c r="A16" s="126" t="str">
        <f>"Juillet "&amp;'simul impots'!$F$1</f>
        <v xml:space="preserve">Juillet </v>
      </c>
      <c r="B16" s="89">
        <f>+'simul impots'!D32</f>
        <v>0</v>
      </c>
      <c r="C16" s="89">
        <f>+'simul impots'!E32</f>
        <v>0</v>
      </c>
      <c r="D16" s="845"/>
      <c r="E16" s="846"/>
      <c r="F16" s="847"/>
      <c r="I16" s="313" t="s">
        <v>82</v>
      </c>
      <c r="J16" s="314" t="s">
        <v>83</v>
      </c>
      <c r="K16" s="315" t="s">
        <v>85</v>
      </c>
      <c r="L16" s="292"/>
      <c r="N16" s="292"/>
      <c r="O16" s="292"/>
      <c r="P16" s="292"/>
    </row>
    <row r="17" spans="1:16" customFormat="1" ht="15.75" thickBot="1">
      <c r="A17" s="126" t="str">
        <f>"Août "&amp;'simul impots'!$F$1</f>
        <v xml:space="preserve">Août </v>
      </c>
      <c r="B17" s="89">
        <f>+'simul impots'!D33</f>
        <v>0</v>
      </c>
      <c r="C17" s="89">
        <f>+'simul impots'!E33</f>
        <v>0</v>
      </c>
      <c r="D17" s="845"/>
      <c r="E17" s="846"/>
      <c r="F17" s="847"/>
      <c r="I17" s="294" t="s">
        <v>82</v>
      </c>
      <c r="J17" s="295" t="s">
        <v>83</v>
      </c>
      <c r="K17" s="297" t="s">
        <v>84</v>
      </c>
      <c r="L17" s="292"/>
      <c r="M17" s="292"/>
      <c r="N17" s="292"/>
      <c r="O17" s="292"/>
      <c r="P17" s="292"/>
    </row>
    <row r="18" spans="1:16" customFormat="1" ht="15.75" thickBot="1">
      <c r="A18" s="126" t="str">
        <f>"Septembre "&amp;'simul impots'!$F$1</f>
        <v xml:space="preserve">Septembre </v>
      </c>
      <c r="B18" s="89">
        <f>+'simul impots'!D34</f>
        <v>0</v>
      </c>
      <c r="C18" s="89">
        <f>+'simul impots'!E34</f>
        <v>0</v>
      </c>
      <c r="D18" s="845"/>
      <c r="E18" s="846"/>
      <c r="F18" s="847"/>
      <c r="I18" s="294" t="s">
        <v>82</v>
      </c>
      <c r="J18" s="295" t="s">
        <v>83</v>
      </c>
      <c r="K18" s="297" t="s">
        <v>91</v>
      </c>
      <c r="L18" s="292"/>
      <c r="M18" s="292"/>
      <c r="N18" s="292"/>
      <c r="O18" s="292"/>
      <c r="P18" s="292"/>
    </row>
    <row r="19" spans="1:16" customFormat="1" ht="15.75" thickBot="1">
      <c r="A19" s="126" t="str">
        <f>"Octobre "&amp;'simul impots'!$F$1</f>
        <v xml:space="preserve">Octobre </v>
      </c>
      <c r="B19" s="89">
        <f>+'simul impots'!D35</f>
        <v>0</v>
      </c>
      <c r="C19" s="89">
        <f>+'simul impots'!E35</f>
        <v>0</v>
      </c>
      <c r="D19" s="845"/>
      <c r="E19" s="846"/>
      <c r="F19" s="847"/>
      <c r="I19" s="294" t="s">
        <v>82</v>
      </c>
      <c r="J19" s="295" t="s">
        <v>83</v>
      </c>
      <c r="K19" s="297" t="s">
        <v>208</v>
      </c>
      <c r="L19" s="292"/>
      <c r="M19" s="292"/>
      <c r="N19" s="292"/>
      <c r="O19" s="292"/>
      <c r="P19" s="292"/>
    </row>
    <row r="20" spans="1:16" customFormat="1" ht="15.75" thickBot="1">
      <c r="A20" s="126" t="str">
        <f>"Novembre "&amp;'simul impots'!$F$1</f>
        <v xml:space="preserve">Novembre </v>
      </c>
      <c r="B20" s="89">
        <f>+'simul impots'!D36</f>
        <v>0</v>
      </c>
      <c r="C20" s="89">
        <f>+'simul impots'!E36</f>
        <v>0</v>
      </c>
      <c r="D20" s="845"/>
      <c r="E20" s="846"/>
      <c r="F20" s="847"/>
      <c r="I20" s="294" t="s">
        <v>82</v>
      </c>
      <c r="J20" s="295" t="s">
        <v>81</v>
      </c>
      <c r="K20" s="297" t="s">
        <v>85</v>
      </c>
      <c r="L20" s="292"/>
      <c r="M20" s="292"/>
      <c r="N20" s="292"/>
      <c r="O20" s="292"/>
      <c r="P20" s="292"/>
    </row>
    <row r="21" spans="1:16" customFormat="1" ht="15.75" thickBot="1">
      <c r="A21" s="126" t="str">
        <f>"Décembre "&amp;'simul impots'!$F$1</f>
        <v xml:space="preserve">Décembre </v>
      </c>
      <c r="B21" s="89">
        <f>+'simul impots'!D37</f>
        <v>0</v>
      </c>
      <c r="C21" s="89">
        <f>+'simul impots'!E37</f>
        <v>0</v>
      </c>
      <c r="D21" s="845"/>
      <c r="E21" s="846"/>
      <c r="F21" s="847"/>
      <c r="I21" s="294" t="s">
        <v>82</v>
      </c>
      <c r="J21" s="295" t="s">
        <v>81</v>
      </c>
      <c r="K21" s="297" t="s">
        <v>84</v>
      </c>
      <c r="L21" s="292"/>
      <c r="M21" s="292"/>
      <c r="N21" s="292"/>
      <c r="O21" s="292"/>
      <c r="P21" s="292"/>
    </row>
    <row r="22" spans="1:16" customFormat="1" ht="15.75" thickBot="1">
      <c r="A22" s="127" t="s">
        <v>6</v>
      </c>
      <c r="B22" s="89">
        <f>+'simul impots'!D38</f>
        <v>0</v>
      </c>
      <c r="C22" s="89">
        <f>+'simul impots'!E38</f>
        <v>0</v>
      </c>
      <c r="D22" s="845"/>
      <c r="E22" s="846"/>
      <c r="F22" s="847"/>
      <c r="I22" s="294" t="s">
        <v>82</v>
      </c>
      <c r="J22" s="295" t="s">
        <v>81</v>
      </c>
      <c r="K22" s="297" t="s">
        <v>91</v>
      </c>
      <c r="L22" s="292"/>
      <c r="M22" s="292"/>
      <c r="N22" s="292"/>
      <c r="O22" s="292"/>
      <c r="P22" s="292"/>
    </row>
    <row r="23" spans="1:16" customFormat="1" ht="15.75" thickBot="1">
      <c r="A23" s="128" t="s">
        <v>8</v>
      </c>
      <c r="B23" s="89" t="str">
        <f>+'simul impots'!D39</f>
        <v/>
      </c>
      <c r="C23" s="89" t="str">
        <f>+'simul impots'!E39</f>
        <v/>
      </c>
      <c r="D23" s="845"/>
      <c r="E23" s="846"/>
      <c r="F23" s="847"/>
      <c r="I23" s="294" t="s">
        <v>82</v>
      </c>
      <c r="J23" s="295" t="s">
        <v>81</v>
      </c>
      <c r="K23" s="297" t="s">
        <v>208</v>
      </c>
      <c r="L23" s="292"/>
      <c r="M23" s="292"/>
      <c r="N23" s="292"/>
      <c r="O23" s="292"/>
      <c r="P23" s="292"/>
    </row>
    <row r="24" spans="1:16" customFormat="1" ht="15.75" thickBot="1">
      <c r="A24" s="129"/>
      <c r="B24" s="74"/>
      <c r="C24" s="64"/>
      <c r="D24" s="845"/>
      <c r="E24" s="846"/>
      <c r="F24" s="847"/>
      <c r="I24" s="294" t="s">
        <v>82</v>
      </c>
      <c r="J24" s="295">
        <f>'simul impots'!$C$77</f>
        <v>0</v>
      </c>
      <c r="K24" s="297" t="s">
        <v>85</v>
      </c>
      <c r="L24" s="292"/>
      <c r="M24" s="292"/>
      <c r="N24" s="292"/>
      <c r="O24" s="292"/>
      <c r="P24" s="292"/>
    </row>
    <row r="25" spans="1:16" customFormat="1">
      <c r="A25" s="130" t="s">
        <v>21</v>
      </c>
      <c r="B25" s="90" t="str">
        <f>'simul impots'!D41</f>
        <v/>
      </c>
      <c r="C25" s="91" t="str">
        <f>'simul impots'!E41</f>
        <v/>
      </c>
      <c r="D25" s="845"/>
      <c r="E25" s="846"/>
      <c r="F25" s="847"/>
      <c r="I25" s="294" t="s">
        <v>82</v>
      </c>
      <c r="J25" s="295">
        <f>'simul impots'!$C$77</f>
        <v>0</v>
      </c>
      <c r="K25" s="297" t="s">
        <v>84</v>
      </c>
      <c r="L25" s="292"/>
      <c r="M25" s="292"/>
      <c r="N25" s="292"/>
      <c r="O25" s="292"/>
      <c r="P25" s="292"/>
    </row>
    <row r="26" spans="1:16" customFormat="1" ht="30">
      <c r="A26" s="131" t="s">
        <v>17</v>
      </c>
      <c r="B26" s="112" t="str">
        <f>'simul impots'!D42</f>
        <v/>
      </c>
      <c r="C26" s="113" t="str">
        <f>'simul impots'!E42</f>
        <v/>
      </c>
      <c r="D26" s="845"/>
      <c r="E26" s="846"/>
      <c r="F26" s="847"/>
      <c r="I26" s="294" t="s">
        <v>82</v>
      </c>
      <c r="J26" s="295">
        <f>'simul impots'!$C$77</f>
        <v>0</v>
      </c>
      <c r="K26" s="297" t="s">
        <v>91</v>
      </c>
      <c r="L26" s="292"/>
      <c r="M26" s="292"/>
      <c r="N26" s="292"/>
      <c r="O26" s="292"/>
      <c r="P26" s="292"/>
    </row>
    <row r="27" spans="1:16" customFormat="1">
      <c r="A27" s="132" t="s">
        <v>20</v>
      </c>
      <c r="B27" s="94" t="str">
        <f>IF(B25="","",B25-B26)</f>
        <v/>
      </c>
      <c r="C27" s="95" t="str">
        <f>IF(C25="","",C25-C26)</f>
        <v/>
      </c>
      <c r="D27" s="845"/>
      <c r="E27" s="846"/>
      <c r="F27" s="847"/>
      <c r="I27" s="294" t="s">
        <v>82</v>
      </c>
      <c r="J27" s="295">
        <f>'simul impots'!$C$77</f>
        <v>0</v>
      </c>
      <c r="K27" s="297" t="s">
        <v>208</v>
      </c>
      <c r="L27" s="292"/>
      <c r="M27" s="292"/>
      <c r="N27" s="292"/>
      <c r="O27" s="292"/>
      <c r="P27" s="292"/>
    </row>
    <row r="28" spans="1:16" customFormat="1" ht="25.5">
      <c r="A28" s="133" t="s">
        <v>22</v>
      </c>
      <c r="B28" s="114" t="str">
        <f>IF('simul impots'!D44="","",'simul impots'!D44)</f>
        <v/>
      </c>
      <c r="C28" s="114" t="str">
        <f>IF('simul impots'!E44="","",'simul impots'!E44)</f>
        <v/>
      </c>
      <c r="D28" s="845"/>
      <c r="E28" s="846"/>
      <c r="F28" s="847"/>
      <c r="I28" s="294" t="s">
        <v>82</v>
      </c>
      <c r="J28" s="295" t="s">
        <v>83</v>
      </c>
      <c r="K28" s="297" t="s">
        <v>85</v>
      </c>
      <c r="L28" s="292"/>
      <c r="M28" s="292"/>
      <c r="N28" s="292"/>
      <c r="O28" s="292"/>
      <c r="P28" s="292"/>
    </row>
    <row r="29" spans="1:16" customFormat="1">
      <c r="A29" s="132" t="s">
        <v>23</v>
      </c>
      <c r="B29" s="94" t="str">
        <f>IF(B28="","",B27-B28)</f>
        <v/>
      </c>
      <c r="C29" s="95" t="str">
        <f>IF(C28="","",C27-C28)</f>
        <v/>
      </c>
      <c r="D29" s="845"/>
      <c r="E29" s="846"/>
      <c r="F29" s="847"/>
      <c r="I29" s="294" t="s">
        <v>82</v>
      </c>
      <c r="J29" s="295" t="s">
        <v>83</v>
      </c>
      <c r="K29" s="297" t="s">
        <v>84</v>
      </c>
      <c r="L29" s="292"/>
      <c r="M29" s="292"/>
      <c r="N29" s="292"/>
      <c r="O29" s="292"/>
      <c r="P29" s="292"/>
    </row>
    <row r="30" spans="1:16" customFormat="1">
      <c r="A30" s="132" t="s">
        <v>9</v>
      </c>
      <c r="B30" s="81">
        <f>('simul impots'!$F$46-'simul impots'!B21-'simul impots'!C21)/2+'simul impots'!B21</f>
        <v>0</v>
      </c>
      <c r="C30" s="81">
        <f>('simul impots'!$F$46-'simul impots'!B21-'simul impots'!C21)/2+'simul impots'!C21</f>
        <v>0</v>
      </c>
      <c r="D30" s="845"/>
      <c r="E30" s="846"/>
      <c r="F30" s="847"/>
      <c r="I30" s="294" t="s">
        <v>82</v>
      </c>
      <c r="J30" s="295" t="s">
        <v>83</v>
      </c>
      <c r="K30" s="297" t="s">
        <v>208</v>
      </c>
      <c r="L30" s="292"/>
      <c r="M30" s="292"/>
      <c r="N30" s="292"/>
      <c r="O30" s="292"/>
      <c r="P30" s="292"/>
    </row>
    <row r="31" spans="1:16" customFormat="1">
      <c r="A31" s="134" t="s">
        <v>29</v>
      </c>
      <c r="B31" s="101" t="str">
        <f>IF(B29="","",B29/B30/12)</f>
        <v/>
      </c>
      <c r="C31" s="102" t="str">
        <f>IF(C29="","",C29/C30/12)</f>
        <v/>
      </c>
      <c r="D31" s="845"/>
      <c r="E31" s="846"/>
      <c r="F31" s="847"/>
      <c r="I31" s="294" t="s">
        <v>82</v>
      </c>
      <c r="J31" s="295" t="s">
        <v>83</v>
      </c>
      <c r="K31" s="297" t="s">
        <v>91</v>
      </c>
      <c r="L31" s="292"/>
      <c r="M31" s="292"/>
      <c r="N31" s="292"/>
      <c r="O31" s="292"/>
      <c r="P31" s="292"/>
    </row>
    <row r="32" spans="1:16" customFormat="1" ht="15.75" thickBot="1">
      <c r="A32" s="135" t="s">
        <v>24</v>
      </c>
      <c r="B32" s="103" t="str">
        <f>IF(B29&lt;&gt;"",B29/B30,"")</f>
        <v/>
      </c>
      <c r="C32" s="104" t="str">
        <f>IF(C29&lt;&gt;"",C29/C30,"")</f>
        <v/>
      </c>
      <c r="D32" s="848"/>
      <c r="E32" s="849"/>
      <c r="F32" s="850"/>
      <c r="I32" s="292"/>
      <c r="J32" s="292"/>
      <c r="K32" s="292"/>
    </row>
    <row r="33" spans="1:6" customFormat="1">
      <c r="A33" s="136"/>
      <c r="B33" s="66"/>
      <c r="C33" s="66"/>
      <c r="D33" s="66"/>
      <c r="E33" s="66"/>
      <c r="F33" s="137"/>
    </row>
    <row r="34" spans="1:6" customFormat="1" ht="19.5" thickBot="1">
      <c r="A34" s="820" t="str">
        <f>C60</f>
        <v>à mettre à jour pour actualisation</v>
      </c>
      <c r="B34" s="821"/>
      <c r="C34" s="72"/>
      <c r="D34" s="72"/>
      <c r="E34" s="556"/>
      <c r="F34" s="817"/>
    </row>
    <row r="35" spans="1:6" customFormat="1" ht="15.75" thickBot="1">
      <c r="A35" s="327" t="str">
        <f>"TRANCHE DU REVENU "&amp;'simul impots'!F133</f>
        <v xml:space="preserve">TRANCHE DU REVENU </v>
      </c>
      <c r="B35" s="328" t="s">
        <v>4</v>
      </c>
      <c r="C35" s="30" t="s">
        <v>10</v>
      </c>
      <c r="D35" s="69" t="str">
        <f>"Calcul de l'impôt "&amp;'simul impots'!B136&amp;" "&amp;'simul impots'!B137</f>
        <v xml:space="preserve">Calcul de l'impôt  </v>
      </c>
      <c r="E35" s="69" t="str">
        <f>"Calcul de l'impôt "&amp;'simul impots'!B140&amp;" "&amp;'simul impots'!B141</f>
        <v xml:space="preserve">Calcul de l'impôt  </v>
      </c>
      <c r="F35" s="812"/>
    </row>
    <row r="36" spans="1:6" customFormat="1">
      <c r="A36" s="329">
        <f>'simul impots'!A52</f>
        <v>0</v>
      </c>
      <c r="B36" s="810">
        <v>0</v>
      </c>
      <c r="C36" s="281" t="s">
        <v>12</v>
      </c>
      <c r="D36" s="278" t="str">
        <f>IF(OR($B$32=0,$B$32=""),"",IF($B$32&gt;A37,A37-A36,IF($B$32-A36&lt;0,"",$B$32-A36)))</f>
        <v/>
      </c>
      <c r="E36" s="105" t="str">
        <f>IF(OR($C$32=0,$C$32=""),"",IF($C$32&gt;A37,A37-A36,IF($C$32-A36&lt;0,"",$C$32-A36)))</f>
        <v/>
      </c>
      <c r="F36" s="813"/>
    </row>
    <row r="37" spans="1:6" customFormat="1" ht="15.75" thickBot="1">
      <c r="A37" s="329">
        <v>9807</v>
      </c>
      <c r="B37" s="810"/>
      <c r="C37" s="281" t="s">
        <v>11</v>
      </c>
      <c r="D37" s="279" t="str">
        <f>IF($B$32="","",IF(OR(D36=0,D36=""),0,D36*B36))</f>
        <v/>
      </c>
      <c r="E37" s="106" t="str">
        <f>IF($C$32="","",IF(OR(E36=0,E36=""),0,E36*B36))</f>
        <v/>
      </c>
      <c r="F37" s="813"/>
    </row>
    <row r="38" spans="1:6" customFormat="1">
      <c r="A38" s="456">
        <f>+A37</f>
        <v>9807</v>
      </c>
      <c r="B38" s="811">
        <v>0.14000000000000001</v>
      </c>
      <c r="C38" s="281" t="s">
        <v>12</v>
      </c>
      <c r="D38" s="278" t="str">
        <f>IF(OR($B$32=0,$B$32=""),"",IF($B$32&gt;A39,A39-A38,IF($B$32-A38&lt;0,"",$B$32-A38)))</f>
        <v/>
      </c>
      <c r="E38" s="105" t="str">
        <f>IF(OR($C$32=0,$C$32=""),"",IF($C$32&gt;A39,A39-A38,IF($C$32-A38&lt;0,"",$C$32-A38)))</f>
        <v/>
      </c>
      <c r="F38" s="813"/>
    </row>
    <row r="39" spans="1:6" customFormat="1" ht="15.75" thickBot="1">
      <c r="A39" s="329">
        <v>27086</v>
      </c>
      <c r="B39" s="811"/>
      <c r="C39" s="281" t="s">
        <v>11</v>
      </c>
      <c r="D39" s="279" t="str">
        <f>IF($B$32="","",IF(OR(D38=0,D38=""),0,D38*B38))</f>
        <v/>
      </c>
      <c r="E39" s="106" t="str">
        <f>IF($C$32="","",IF(OR(E38=0,E38=""),0,E38*B38))</f>
        <v/>
      </c>
      <c r="F39" s="813"/>
    </row>
    <row r="40" spans="1:6" customFormat="1">
      <c r="A40" s="456">
        <f>+A39</f>
        <v>27086</v>
      </c>
      <c r="B40" s="810">
        <v>0.3</v>
      </c>
      <c r="C40" s="281" t="s">
        <v>12</v>
      </c>
      <c r="D40" s="278" t="str">
        <f>IF(OR($B$32=0,$B$32=""),"",IF($B$32&gt;A41,A41-A40,IF($B$32-A40&lt;0,"",$B$32-A40)))</f>
        <v/>
      </c>
      <c r="E40" s="105" t="str">
        <f>IF(OR($C$32=0,$C$32=""),"",IF($C$32&gt;A41,A41-A40,IF($C$32-A40&lt;0,"",$C$32-A40)))</f>
        <v/>
      </c>
      <c r="F40" s="813"/>
    </row>
    <row r="41" spans="1:6" customFormat="1" ht="15.75" thickBot="1">
      <c r="A41" s="329">
        <v>72617</v>
      </c>
      <c r="B41" s="810"/>
      <c r="C41" s="281" t="s">
        <v>11</v>
      </c>
      <c r="D41" s="279" t="str">
        <f>IF($B$32="","",IF(OR(D40=0,D40=""),0,D40*B40))</f>
        <v/>
      </c>
      <c r="E41" s="106" t="str">
        <f>IF($C$32="","",IF(OR(E40=0,E40=""),0,E40*B40))</f>
        <v/>
      </c>
      <c r="F41" s="813"/>
    </row>
    <row r="42" spans="1:6" customFormat="1">
      <c r="A42" s="456">
        <f>+A41</f>
        <v>72617</v>
      </c>
      <c r="B42" s="810">
        <v>0.41</v>
      </c>
      <c r="C42" s="281" t="s">
        <v>12</v>
      </c>
      <c r="D42" s="278" t="str">
        <f>IF(OR($B$32=0,$B$32=""),"",IF($B$32&gt;A43,A43-A42,IF($B$32-A42&lt;0,"",$B$32-A42)))</f>
        <v/>
      </c>
      <c r="E42" s="105" t="str">
        <f>IF(OR($C$32=0,$C$32=""),"",IF($C$32&gt;A43,A43-A42,IF($C$32-A42&lt;0,"",$C$32-A42)))</f>
        <v/>
      </c>
      <c r="F42" s="813"/>
    </row>
    <row r="43" spans="1:6" customFormat="1" ht="15.75" thickBot="1">
      <c r="A43" s="329">
        <v>153783</v>
      </c>
      <c r="B43" s="810"/>
      <c r="C43" s="281" t="s">
        <v>11</v>
      </c>
      <c r="D43" s="279" t="str">
        <f>IF($B$32="","",IF(OR(D42=0,D42=""),0,D42*B42))</f>
        <v/>
      </c>
      <c r="E43" s="106" t="str">
        <f>IF($C$32="","",IF(OR(E42=0,E42=""),0,E42*B42))</f>
        <v/>
      </c>
      <c r="F43" s="813"/>
    </row>
    <row r="44" spans="1:6" customFormat="1">
      <c r="A44" s="456">
        <f>+A43</f>
        <v>153783</v>
      </c>
      <c r="B44" s="810">
        <v>0.45</v>
      </c>
      <c r="C44" s="281" t="s">
        <v>12</v>
      </c>
      <c r="D44" s="278" t="str">
        <f>IF(OR($B$32=0,$B$32=""),"",IF($B$32&gt;A45,A45-A44,IF($B$32-A44&lt;0,"",$B$32-A44)))</f>
        <v/>
      </c>
      <c r="E44" s="105" t="str">
        <f>IF(OR($C$32=0,$C$32=""),"",IF($C$32&gt;A45,A45-A44,IF($C$32-A44&lt;0,"",$C$32-A44)))</f>
        <v/>
      </c>
      <c r="F44" s="813"/>
    </row>
    <row r="45" spans="1:6" customFormat="1" ht="15.75" thickBot="1">
      <c r="A45" s="456" t="str">
        <f>'simul impots'!A61</f>
        <v>et plus</v>
      </c>
      <c r="B45" s="810"/>
      <c r="C45" s="281" t="s">
        <v>11</v>
      </c>
      <c r="D45" s="279" t="str">
        <f>IF($B$32="","",IF(OR(D44=0,D44=""),0,D44*B44))</f>
        <v/>
      </c>
      <c r="E45" s="106" t="str">
        <f>IF($C$32="","",IF(OR(E44=0,E44=""),0,E44*B44))</f>
        <v/>
      </c>
      <c r="F45" s="813"/>
    </row>
    <row r="46" spans="1:6" customFormat="1" ht="15.75" thickBot="1">
      <c r="A46" s="809" t="s">
        <v>13</v>
      </c>
      <c r="B46" s="802"/>
      <c r="C46" s="803"/>
      <c r="D46" s="107" t="str">
        <f>IF(B32="","",D37+D39+D41+D43+D45)</f>
        <v/>
      </c>
      <c r="E46" s="107" t="str">
        <f>IF(C32="","",E37+E39+E41+E43+E45)</f>
        <v/>
      </c>
      <c r="F46" s="813"/>
    </row>
    <row r="47" spans="1:6" customFormat="1" ht="15.75" thickBot="1">
      <c r="A47" s="138" t="str">
        <f>IF(OR(OR('simul impots'!B19&gt;0,'simul impots'!C19&gt;0,'simul impots'!B20&gt;0,'simul impots'!C20&gt;0),'simul impots'!F17&gt;0),"Plafond Enfant :","")</f>
        <v/>
      </c>
      <c r="B47" s="59">
        <f>B68</f>
        <v>1527</v>
      </c>
      <c r="C47" s="58" t="s">
        <v>28</v>
      </c>
      <c r="D47" s="18" t="str">
        <f>IF(OR(B30=0,B30=""),"",B30)</f>
        <v/>
      </c>
      <c r="E47" s="18" t="str">
        <f>IF(OR(C30=0,C30=""),"",C30)</f>
        <v/>
      </c>
      <c r="F47" s="813"/>
    </row>
    <row r="48" spans="1:6" customFormat="1" ht="15.75" thickBot="1">
      <c r="A48" s="805" t="s">
        <v>26</v>
      </c>
      <c r="B48" s="478"/>
      <c r="C48" s="479"/>
      <c r="D48" s="108" t="str">
        <f>IF(D46="","",IF(D85-$B$68*('simul impots'!$F$46-'simul impots'!B21-'simul impots'!C21-2)/2*2&gt;D46*D47,D85-$B$68*('simul impots'!$F$46-'simul impots'!B21-'simul impots'!C21-2)/2*2,D46*D47))</f>
        <v/>
      </c>
      <c r="E48" s="108" t="str">
        <f>IF(E46="","",IF(E85-$B$68*('simul impots'!$F$46-'simul impots'!B21-'simul impots'!C21-2)/2*2&gt;E46*E47,E85-$B$68*('simul impots'!$F$46-'simul impots'!B21-'simul impots'!C21-2)/2*2,E46*E47))</f>
        <v/>
      </c>
      <c r="F48" s="813"/>
    </row>
    <row r="49" spans="1:6" customFormat="1" ht="15.75" thickBot="1">
      <c r="A49" s="139" t="s">
        <v>18</v>
      </c>
      <c r="B49" s="51">
        <f>B60</f>
        <v>1569</v>
      </c>
      <c r="C49" s="52" t="str">
        <f>IF(A49="Plafond Décote: Non Eligible","","soit à déduire:")</f>
        <v>soit à déduire:</v>
      </c>
      <c r="D49" s="109" t="str">
        <f>IF(D48="","",IF(D48=0,0,IF(D48&gt;B49,"Non Eligible",IF(B62*(B49-D48)&gt;D48,D48,B62*(B49-D48)))))</f>
        <v/>
      </c>
      <c r="E49" s="109" t="str">
        <f>IF(E48="","",IF(E48=0,0,IF(E48&gt;B49,"Non Eligible",IF(B62*(B49-E48)&gt;E48,E48,B62*(B49-E48)))))</f>
        <v/>
      </c>
      <c r="F49" s="813"/>
    </row>
    <row r="50" spans="1:6" customFormat="1" ht="15.75" thickBot="1">
      <c r="A50" s="805" t="str">
        <f>"IMPOT APRES DECOTE ET AVANT REDUCTION "&amp;F64*100&amp;" %"</f>
        <v>IMPOT APRES DECOTE ET AVANT REDUCTION 20 %</v>
      </c>
      <c r="B50" s="478"/>
      <c r="C50" s="479"/>
      <c r="D50" s="108" t="str">
        <f>IF(D48="","",IF(D49="Non Eligible",D48,D48-D49))</f>
        <v/>
      </c>
      <c r="E50" s="108" t="str">
        <f>IF(E48="","",IF(E49="Non Eligible",E48,E48-E49))</f>
        <v/>
      </c>
      <c r="F50" s="813"/>
    </row>
    <row r="51" spans="1:6" customFormat="1" ht="15.75" thickBot="1">
      <c r="A51" s="139" t="s">
        <v>304</v>
      </c>
      <c r="B51" s="51">
        <f>B63</f>
        <v>20705</v>
      </c>
      <c r="C51" s="52" t="str">
        <f>IF(A51="Plafond Décote: Non Eligible","","soit à déduire:")</f>
        <v>soit à déduire:</v>
      </c>
      <c r="D51" s="109" t="str">
        <f>IF(B29&lt;$B$51,D50*$F$64,"Non Eligible")</f>
        <v>Non Eligible</v>
      </c>
      <c r="E51" s="109" t="str">
        <f>IF(C29&lt;$B$51,E50*$F$64,"Non Eligible")</f>
        <v>Non Eligible</v>
      </c>
      <c r="F51" s="813"/>
    </row>
    <row r="52" spans="1:6" customFormat="1" ht="16.5" thickBot="1">
      <c r="A52" s="805" t="s">
        <v>27</v>
      </c>
      <c r="B52" s="478"/>
      <c r="C52" s="479"/>
      <c r="D52" s="460" t="str">
        <f>IF(D50="","",IF(D51="Non Eligible",D50,D50-D51))</f>
        <v/>
      </c>
      <c r="E52" s="460" t="str">
        <f>IF(E50="","",IF(E51="Non Eligible",E50,E50-E51))</f>
        <v/>
      </c>
      <c r="F52" s="813"/>
    </row>
    <row r="53" spans="1:6" customFormat="1" ht="16.5" thickBot="1">
      <c r="A53" s="818" t="str">
        <f>IF(OR(D50&lt;&gt;"",E50&lt;&gt;"",F52&lt;&gt;""),"Saisir le montant : Déductions / Crédit Impots","Déductions / Crédit Impots")</f>
        <v>Déductions / Crédit Impots</v>
      </c>
      <c r="B53" s="490"/>
      <c r="C53" s="491"/>
      <c r="D53" s="115">
        <f>IF('simul impots'!F69="",0,'simul impots'!F69/2)</f>
        <v>0</v>
      </c>
      <c r="E53" s="115">
        <f>IF('simul impots'!F69="",0,'simul impots'!F69/2)</f>
        <v>0</v>
      </c>
      <c r="F53" s="813"/>
    </row>
    <row r="54" spans="1:6" customFormat="1" ht="16.5" thickBot="1">
      <c r="A54" s="140" t="s">
        <v>14</v>
      </c>
      <c r="B54" s="60">
        <f>61</f>
        <v>61</v>
      </c>
      <c r="C54" s="117" t="s">
        <v>25</v>
      </c>
      <c r="D54" s="110" t="str">
        <f>IF(D50="","",IF(D50-D53&lt;=B54,0,D50-D53))</f>
        <v/>
      </c>
      <c r="E54" s="110" t="str">
        <f>IF(E50="","",IF(E50-E53&lt;=B54,0,E50-E53))</f>
        <v/>
      </c>
      <c r="F54" s="813"/>
    </row>
    <row r="55" spans="1:6" customFormat="1" ht="15.75" thickBot="1">
      <c r="A55" s="805" t="s">
        <v>30</v>
      </c>
      <c r="B55" s="478"/>
      <c r="C55" s="479"/>
      <c r="D55" s="61" t="str">
        <f>IF(D54="","",D54/B29)</f>
        <v/>
      </c>
      <c r="E55" s="61" t="str">
        <f>IF(E54="","",E54/C29)</f>
        <v/>
      </c>
      <c r="F55" s="814"/>
    </row>
    <row r="56" spans="1:6" customFormat="1">
      <c r="A56" s="851" t="str">
        <f>IF(AND(D54&lt;&gt;"",E54&lt;&gt;""),"Résultat de vos Déclarations Individuelles",IF(OR(D54&lt;&gt;"",E54&lt;&gt;""),"Résultat de votre Déclaration Individuelle",IF(F54&lt;&gt;"","Résultat de votre Déclaration Commune","")))</f>
        <v/>
      </c>
      <c r="B56" s="852"/>
      <c r="C56" s="852"/>
      <c r="D56" s="852"/>
      <c r="E56" s="852"/>
      <c r="F56" s="853"/>
    </row>
    <row r="57" spans="1:6" customFormat="1" ht="15.75">
      <c r="A57" s="798" t="str">
        <f>IF(B28="","",'simul impots'!B4&amp;" "&amp;'simul impots'!B5&amp;","&amp;IF(D54=0," Vous n'avez pas d'impôts à payer en "&amp;'simul impots'!F2&amp;" sur vos revenus de "&amp;'simul impots'!F1&amp;" !"," Vous devrez payer "&amp;ROUND(D54,0)&amp;" € d'impôts en "&amp;'simul impots'!F2&amp;" sur vos revenus de "&amp;'simul impots'!F1&amp;"!"&amp;"                        Soit : "&amp;ROUND(D54/8,0)&amp;" € / 8 mois ou "&amp;ROUND(D54/10,0)&amp;" € / 10 mois.")&amp;IF(D49="non eligible","                                                                                                                                                                                                      Vous n'êtes pas éligible à la décôte.","                                                                                                                                                                                                      Vous bénéficiez de la décôte à hauteur de: "&amp;ROUND(D49,0)&amp;" €."))</f>
        <v/>
      </c>
      <c r="B57" s="481"/>
      <c r="C57" s="481"/>
      <c r="D57" s="481"/>
      <c r="E57" s="481"/>
      <c r="F57" s="799"/>
    </row>
    <row r="58" spans="1:6" customFormat="1" ht="16.5" thickBot="1">
      <c r="A58" s="839" t="str">
        <f>IF(OR(C32="",C32=0),"",'simul impots'!B8&amp;" "&amp;'simul impots'!B9&amp;","&amp;IF(E54=0," Vous n'avez pas d'impôts à payer en "&amp;'simul impots'!F2&amp;" sur vos revenus de "&amp;'simul impots'!F1&amp;" !"," Vous devrez payer "&amp;ROUND(E54,0)&amp;" € d'impôts en "&amp;'simul impots'!F2&amp;" sur vos revenus de "&amp;'simul impots'!F1&amp;"!"&amp;"                        Soit : "&amp;ROUND(E54/8,0)&amp;" € / 8 mois ou "&amp;ROUND(E54/10,0)&amp;" € / 10 mois."&amp;IF(E49="non eligible","                                                                                                                                                                                                      Vous n'êtes pas éligible à la décôte.","                                                                                                                                                                                                      Vous bénéficiez de la décôte à hauteur de: "&amp;ROUND(E49,0)&amp;" €.")))</f>
        <v/>
      </c>
      <c r="B58" s="840"/>
      <c r="C58" s="840"/>
      <c r="D58" s="840"/>
      <c r="E58" s="840"/>
      <c r="F58" s="841"/>
    </row>
    <row r="59" spans="1:6" customFormat="1" ht="15.75" thickBot="1">
      <c r="A59" s="2"/>
      <c r="B59" s="2"/>
      <c r="C59" s="2"/>
      <c r="D59" s="2"/>
      <c r="E59" s="2"/>
      <c r="F59" s="2"/>
    </row>
    <row r="60" spans="1:6" customFormat="1" ht="19.5" thickBot="1">
      <c r="A60" s="287" t="s">
        <v>73</v>
      </c>
      <c r="B60" s="288">
        <v>1569</v>
      </c>
      <c r="C60" s="806" t="s">
        <v>72</v>
      </c>
      <c r="D60" s="807"/>
      <c r="E60" s="287" t="s">
        <v>290</v>
      </c>
      <c r="F60" s="459">
        <v>61</v>
      </c>
    </row>
    <row r="61" spans="1:6" customFormat="1" ht="19.5" thickBot="1">
      <c r="A61" s="287" t="s">
        <v>74</v>
      </c>
      <c r="B61" s="288">
        <v>2585</v>
      </c>
      <c r="C61" s="806" t="s">
        <v>72</v>
      </c>
      <c r="D61" s="807"/>
      <c r="E61" s="287" t="s">
        <v>291</v>
      </c>
      <c r="F61" s="459">
        <v>153</v>
      </c>
    </row>
    <row r="62" spans="1:6" customFormat="1" ht="19.5" thickBot="1">
      <c r="A62" s="287" t="s">
        <v>75</v>
      </c>
      <c r="B62" s="289">
        <v>0.75</v>
      </c>
      <c r="C62" s="806" t="s">
        <v>72</v>
      </c>
      <c r="D62" s="807"/>
      <c r="E62" s="287" t="s">
        <v>292</v>
      </c>
      <c r="F62" s="459">
        <v>183</v>
      </c>
    </row>
    <row r="63" spans="1:6" customFormat="1" ht="19.5" thickBot="1">
      <c r="A63" s="287" t="s">
        <v>300</v>
      </c>
      <c r="B63" s="288">
        <v>20705</v>
      </c>
      <c r="C63" s="806" t="s">
        <v>72</v>
      </c>
      <c r="D63" s="807"/>
      <c r="E63" s="287" t="s">
        <v>302</v>
      </c>
      <c r="F63" s="288">
        <v>3737</v>
      </c>
    </row>
    <row r="64" spans="1:6" customFormat="1" ht="19.5" thickBot="1">
      <c r="A64" s="287" t="s">
        <v>301</v>
      </c>
      <c r="B64" s="288">
        <v>41410</v>
      </c>
      <c r="C64" s="806" t="s">
        <v>72</v>
      </c>
      <c r="D64" s="807"/>
      <c r="E64" s="287" t="s">
        <v>303</v>
      </c>
      <c r="F64" s="458">
        <v>0.2</v>
      </c>
    </row>
    <row r="65" spans="1:6" customFormat="1">
      <c r="A65" s="2"/>
      <c r="B65" s="2"/>
      <c r="C65" s="2"/>
      <c r="D65" s="2"/>
      <c r="E65" s="2"/>
      <c r="F65" s="2"/>
    </row>
    <row r="66" spans="1:6" customFormat="1">
      <c r="A66" s="2"/>
      <c r="B66" s="2"/>
      <c r="C66" s="2"/>
      <c r="D66" s="2"/>
      <c r="E66" s="2"/>
      <c r="F66" s="2"/>
    </row>
    <row r="67" spans="1:6" customFormat="1" ht="21.75" thickBot="1">
      <c r="A67" s="804" t="s">
        <v>70</v>
      </c>
      <c r="B67" s="804"/>
      <c r="C67" s="804"/>
      <c r="D67" s="804"/>
      <c r="E67" s="804"/>
      <c r="F67" s="804"/>
    </row>
    <row r="68" spans="1:6" customFormat="1" ht="19.5" thickBot="1">
      <c r="A68" s="287" t="str">
        <f>IF(OR(OR(B39&gt;0,C39&gt;0,B40&gt;0,C40&gt;0),F37&gt;0),"Plafond Enfant :","")</f>
        <v>Plafond Enfant :</v>
      </c>
      <c r="B68" s="288">
        <v>1527</v>
      </c>
      <c r="C68" s="838" t="s">
        <v>72</v>
      </c>
      <c r="D68" s="838"/>
      <c r="E68" s="838"/>
      <c r="F68" s="838"/>
    </row>
    <row r="69" spans="1:6" customFormat="1">
      <c r="A69" s="2"/>
      <c r="B69" s="2"/>
      <c r="C69" s="2"/>
      <c r="D69" s="2"/>
      <c r="E69" s="2"/>
      <c r="F69" s="2"/>
    </row>
    <row r="70" spans="1:6" customFormat="1" ht="15.75" thickBot="1">
      <c r="A70" s="173" t="s">
        <v>23</v>
      </c>
      <c r="B70" s="94">
        <f>IF('simul impots'!B45="",0,'simul impots'!B45/B71)+IF('simul impots'!D45="",0,'simul impots'!D45/B71)</f>
        <v>0</v>
      </c>
      <c r="C70" s="94">
        <f>IF('simul impots'!C45="",0,'simul impots'!C45/C71)+IF('simul impots'!E45="",0,'simul impots'!E45/C71)</f>
        <v>0</v>
      </c>
      <c r="D70" s="94">
        <f>IF('simul impots'!D45="",0,'simul impots'!D45)</f>
        <v>0</v>
      </c>
      <c r="E70" s="283">
        <f>IF('simul impots'!E45="",0,'simul impots'!E45)</f>
        <v>0</v>
      </c>
      <c r="F70" s="795">
        <f>IF(OR(D70="",E70=""),"",SUM(D70:E70)/D71)</f>
        <v>0</v>
      </c>
    </row>
    <row r="71" spans="1:6" customFormat="1" ht="15.75" thickBot="1">
      <c r="A71" s="58" t="s">
        <v>28</v>
      </c>
      <c r="B71" s="277">
        <f>1+'simul impots'!B21</f>
        <v>1</v>
      </c>
      <c r="C71" s="277">
        <f>1+'simul impots'!C21</f>
        <v>1</v>
      </c>
      <c r="D71" s="793">
        <f>2+'simul impots'!B21+'simul impots'!C21</f>
        <v>2</v>
      </c>
      <c r="E71" s="794"/>
      <c r="F71" s="795"/>
    </row>
    <row r="72" spans="1:6" customFormat="1" ht="24.75" thickBot="1">
      <c r="A72" s="184" t="str">
        <f>"TRANCHE DU REVENU "&amp;F21</f>
        <v xml:space="preserve">TRANCHE DU REVENU </v>
      </c>
      <c r="B72" s="53" t="s">
        <v>4</v>
      </c>
      <c r="C72" s="30" t="s">
        <v>10</v>
      </c>
      <c r="D72" s="69" t="str">
        <f>"Calcul de l'impôt "&amp;'simul impots'!B4&amp;" "&amp;'simul impots'!B5</f>
        <v xml:space="preserve">Calcul de l'impôt  </v>
      </c>
      <c r="E72" s="69" t="str">
        <f>"Calcul de l'impôt "&amp;'simul impots'!B8&amp;" "&amp;'simul impots'!B9</f>
        <v xml:space="preserve">Calcul de l'impôt  </v>
      </c>
      <c r="F72" s="284" t="str">
        <f>IF(AND(C32="non",B35="non"),"","Calcul de l'impôt du FOYER")</f>
        <v>Calcul de l'impôt du FOYER</v>
      </c>
    </row>
    <row r="73" spans="1:6" customFormat="1">
      <c r="A73" s="280">
        <f>+A36</f>
        <v>0</v>
      </c>
      <c r="B73" s="796">
        <v>0</v>
      </c>
      <c r="C73" s="281" t="s">
        <v>12</v>
      </c>
      <c r="D73" s="278" t="str">
        <f>IF(OR(B70=0,B70=""),"",IF(B70&gt;$A$74,$A$74-$A$73,IF(B70-$A$73&lt;0,"",B70-$A$73)))</f>
        <v/>
      </c>
      <c r="E73" s="105" t="str">
        <f>IF(OR(C70=0,C70=""),"",IF(C70&gt;$A$74,$A$74-$A$73,IF(C70-$A$73&lt;0,"",C70-$A$73)))</f>
        <v/>
      </c>
      <c r="F73" s="105" t="str">
        <f>IF(OR(F70=0,F70=""),"",IF(F70&gt;$A$74,$A$74-$A$73,IF(F70-$A$73&lt;0,"",F70-$A$73)))</f>
        <v/>
      </c>
    </row>
    <row r="74" spans="1:6" customFormat="1" ht="15.75" thickBot="1">
      <c r="A74" s="280">
        <f t="shared" ref="A74:A82" si="0">+A37</f>
        <v>9807</v>
      </c>
      <c r="B74" s="796"/>
      <c r="C74" s="281" t="s">
        <v>11</v>
      </c>
      <c r="D74" s="279">
        <f>IF(B70="","",IF(OR(D73=0,D73=""),0,D73*$B$73))</f>
        <v>0</v>
      </c>
      <c r="E74" s="106">
        <f>IF(C70="","",IF(OR(E73=0,E73=""),0,E73*$B$73))</f>
        <v>0</v>
      </c>
      <c r="F74" s="106">
        <f>IF(F70="","",IF(OR(F73=0,F73=""),0,F73*$B$73))</f>
        <v>0</v>
      </c>
    </row>
    <row r="75" spans="1:6" customFormat="1">
      <c r="A75" s="280">
        <f t="shared" si="0"/>
        <v>9807</v>
      </c>
      <c r="B75" s="797">
        <v>0.14000000000000001</v>
      </c>
      <c r="C75" s="281" t="s">
        <v>12</v>
      </c>
      <c r="D75" s="278" t="str">
        <f>IF(OR(B70=0,B70=""),"",IF(B70&gt;$A$76,$A$76-$A$75,IF(B70-$A$75&lt;0,"",B70-$A$75)))</f>
        <v/>
      </c>
      <c r="E75" s="105" t="str">
        <f>IF(OR(C70=0,C70=""),"",IF(C70&gt;$A$76,$A$76-$A$75,IF(C70-$A$75&lt;0,"",C70-$A$75)))</f>
        <v/>
      </c>
      <c r="F75" s="105" t="str">
        <f>IF(OR(F70=0,F70=""),"",IF(F70&gt;$A$76,$A$76-$A$75,IF(F70-$A$75&lt;0,"",F70-$A$75)))</f>
        <v/>
      </c>
    </row>
    <row r="76" spans="1:6" customFormat="1" ht="15.75" thickBot="1">
      <c r="A76" s="280">
        <f t="shared" si="0"/>
        <v>27086</v>
      </c>
      <c r="B76" s="797"/>
      <c r="C76" s="281" t="s">
        <v>11</v>
      </c>
      <c r="D76" s="279">
        <f>IF(B70="","",IF(OR(D75=0,D75=""),0,D75*$B$75))</f>
        <v>0</v>
      </c>
      <c r="E76" s="106">
        <f>IF(C70="","",IF(OR(E75=0,E75=""),0,E75*$B$75))</f>
        <v>0</v>
      </c>
      <c r="F76" s="106">
        <f>IF(F70="","",IF(OR(F75=0,F75=""),0,F75*$B$75))</f>
        <v>0</v>
      </c>
    </row>
    <row r="77" spans="1:6" customFormat="1">
      <c r="A77" s="280">
        <f t="shared" si="0"/>
        <v>27086</v>
      </c>
      <c r="B77" s="796">
        <v>0.3</v>
      </c>
      <c r="C77" s="281" t="s">
        <v>12</v>
      </c>
      <c r="D77" s="278" t="str">
        <f>IF(OR(B70=0,B70=""),"",IF(B70&gt;$A$78,$A$78-$A$77,IF(B70-$A$77&lt;0,"",B70-$A$77)))</f>
        <v/>
      </c>
      <c r="E77" s="278" t="str">
        <f>IF(OR(C70=0,C70=""),"",IF(C70&gt;$A$78,$A$78-$A$77,IF(C70-$A$77&lt;0,"",C70-$A$77)))</f>
        <v/>
      </c>
      <c r="F77" s="278" t="str">
        <f>IF(OR(F70=0,F70=""),"",IF(F70&gt;$A$78,$A$78-$A$77,IF(F70-$A$77&lt;0,"",F70-$A$77)))</f>
        <v/>
      </c>
    </row>
    <row r="78" spans="1:6" customFormat="1" ht="15.75" thickBot="1">
      <c r="A78" s="280">
        <f t="shared" si="0"/>
        <v>72617</v>
      </c>
      <c r="B78" s="796"/>
      <c r="C78" s="281" t="s">
        <v>11</v>
      </c>
      <c r="D78" s="279">
        <f>IF(B70="","",IF(OR(D77=0,D77=""),0,D77*$B$77))</f>
        <v>0</v>
      </c>
      <c r="E78" s="279">
        <f>IF(C70="","",IF(OR(E77=0,E77=""),0,E77*$B$77))</f>
        <v>0</v>
      </c>
      <c r="F78" s="279">
        <f>IF(F70="","",IF(OR(F77=0,F77=""),0,F77*$B$77))</f>
        <v>0</v>
      </c>
    </row>
    <row r="79" spans="1:6" customFormat="1">
      <c r="A79" s="280">
        <f t="shared" si="0"/>
        <v>72617</v>
      </c>
      <c r="B79" s="796">
        <v>0.41</v>
      </c>
      <c r="C79" s="281" t="s">
        <v>12</v>
      </c>
      <c r="D79" s="278" t="str">
        <f>IF(OR(B70=0,B70=""),"",IF(B70&gt;$A$80,$A$80-$A$79,IF(B70-$A$79&lt;0,"",B70-$A$79)))</f>
        <v/>
      </c>
      <c r="E79" s="278" t="str">
        <f>IF(OR(C70=0,C70=""),"",IF(C70&gt;$A$80,$A$80-$A$79,IF(C70-$A$79&lt;0,"",C70-$A$79)))</f>
        <v/>
      </c>
      <c r="F79" s="278" t="str">
        <f>IF(OR(F70=0,F70=""),"",IF(F70&gt;$A$80,$A$80-$A$79,IF(F70-$A$79&lt;0,"",F70-$A$79)))</f>
        <v/>
      </c>
    </row>
    <row r="80" spans="1:6" customFormat="1" ht="15.75" thickBot="1">
      <c r="A80" s="280">
        <f t="shared" si="0"/>
        <v>153783</v>
      </c>
      <c r="B80" s="796"/>
      <c r="C80" s="281" t="s">
        <v>11</v>
      </c>
      <c r="D80" s="279">
        <f>IF(B70="","",IF(OR(D79=0,D79=""),0,D79*B79))</f>
        <v>0</v>
      </c>
      <c r="E80" s="279">
        <f>IF(C70="","",IF(OR(E79=0,E79=""),0,E79*$B$79))</f>
        <v>0</v>
      </c>
      <c r="F80" s="279">
        <f>IF(F70="","",IF(OR(F79=0,F79=""),0,F79*$B$79))</f>
        <v>0</v>
      </c>
    </row>
    <row r="81" spans="1:6" customFormat="1">
      <c r="A81" s="280">
        <f t="shared" si="0"/>
        <v>153783</v>
      </c>
      <c r="B81" s="796">
        <v>0.45</v>
      </c>
      <c r="C81" s="281" t="s">
        <v>12</v>
      </c>
      <c r="D81" s="278" t="str">
        <f>IF(OR(B70=0,B70=""),"",IF(B70&gt;$A$81,B70-$A$81,""))</f>
        <v/>
      </c>
      <c r="E81" s="278" t="str">
        <f>IF(OR(C70=0,C70=""),"",IF(C70&gt;$A$81,C70-$A$81,""))</f>
        <v/>
      </c>
      <c r="F81" s="278" t="str">
        <f>IF(OR(F70=0,F70=""),"",IF(F70&gt;$A$81,F70-$A$81,""))</f>
        <v/>
      </c>
    </row>
    <row r="82" spans="1:6" customFormat="1" ht="15.75" thickBot="1">
      <c r="A82" s="280" t="str">
        <f t="shared" si="0"/>
        <v>et plus</v>
      </c>
      <c r="B82" s="796"/>
      <c r="C82" s="281" t="s">
        <v>11</v>
      </c>
      <c r="D82" s="279">
        <f>IF(B70="","",IF(OR(D81=0,D81=""),0,D81*$B$81))</f>
        <v>0</v>
      </c>
      <c r="E82" s="279">
        <f>IF(C70="","",IF(OR(E81=0,E81=""),0,E81*$B$81))</f>
        <v>0</v>
      </c>
      <c r="F82" s="279">
        <f>IF(F70="","",IF(OR(F81=0,F81=""),0,F81*$B$81))</f>
        <v>0</v>
      </c>
    </row>
    <row r="83" spans="1:6" customFormat="1" ht="15.75" thickBot="1">
      <c r="A83" s="801" t="s">
        <v>13</v>
      </c>
      <c r="B83" s="802"/>
      <c r="C83" s="803"/>
      <c r="D83" s="105">
        <f>SUM(D74+D76+D78+D80+D82)</f>
        <v>0</v>
      </c>
      <c r="E83" s="105">
        <f>SUM(E74+E76+E78+E80+E82)</f>
        <v>0</v>
      </c>
      <c r="F83" s="105">
        <f>SUM(F74+F76+F78+F80+F82)</f>
        <v>0</v>
      </c>
    </row>
    <row r="84" spans="1:6" customFormat="1" ht="15.75" thickBot="1">
      <c r="A84" s="2"/>
      <c r="B84" s="2"/>
      <c r="C84" s="58" t="s">
        <v>28</v>
      </c>
      <c r="D84" s="277">
        <f>B71</f>
        <v>1</v>
      </c>
      <c r="E84" s="277">
        <f>C71</f>
        <v>1</v>
      </c>
      <c r="F84" s="277">
        <f>D71</f>
        <v>2</v>
      </c>
    </row>
    <row r="85" spans="1:6" customFormat="1" ht="15.75" thickBot="1">
      <c r="A85" s="477" t="s">
        <v>199</v>
      </c>
      <c r="B85" s="478"/>
      <c r="C85" s="479"/>
      <c r="D85" s="105">
        <f>D83*D84</f>
        <v>0</v>
      </c>
      <c r="E85" s="105">
        <f>E83*E84</f>
        <v>0</v>
      </c>
      <c r="F85" s="105">
        <f>F83*F84</f>
        <v>0</v>
      </c>
    </row>
    <row r="86" spans="1:6" customFormat="1"/>
    <row r="87" spans="1:6" customFormat="1"/>
    <row r="90" spans="1:6" ht="18.75">
      <c r="A90" s="806" t="s">
        <v>72</v>
      </c>
      <c r="B90" s="806"/>
      <c r="C90" s="806"/>
      <c r="D90" s="806"/>
      <c r="E90" s="806"/>
      <c r="F90" s="806"/>
    </row>
    <row r="91" spans="1:6" ht="19.5" thickBot="1">
      <c r="A91" s="620" t="str">
        <f>"BAREME KM "&amp;'simul impots'!F2&amp;" (Valable pour votre déclaration "&amp;'simul impots'!F1&amp;")"</f>
        <v>BAREME KM  (Valable pour votre déclaration )</v>
      </c>
      <c r="B91" s="620"/>
      <c r="C91" s="620"/>
      <c r="D91" s="620"/>
      <c r="E91" s="620"/>
      <c r="F91" s="620"/>
    </row>
    <row r="92" spans="1:6" ht="30.75" thickBot="1">
      <c r="A92" s="600" t="s">
        <v>45</v>
      </c>
      <c r="B92" s="601"/>
      <c r="C92" s="228" t="s">
        <v>46</v>
      </c>
      <c r="D92" s="600" t="s">
        <v>47</v>
      </c>
      <c r="E92" s="601"/>
      <c r="F92" s="228" t="s">
        <v>48</v>
      </c>
    </row>
    <row r="93" spans="1:6" ht="16.5" thickBot="1">
      <c r="A93" s="598">
        <v>3</v>
      </c>
      <c r="B93" s="599"/>
      <c r="C93" s="465">
        <v>0.41</v>
      </c>
      <c r="D93" s="466">
        <v>0.245</v>
      </c>
      <c r="E93" s="467">
        <v>824</v>
      </c>
      <c r="F93" s="465">
        <v>0.28599999999999998</v>
      </c>
    </row>
    <row r="94" spans="1:6" ht="16.5" thickBot="1">
      <c r="A94" s="608">
        <v>4</v>
      </c>
      <c r="B94" s="609"/>
      <c r="C94" s="465">
        <v>0.49299999999999999</v>
      </c>
      <c r="D94" s="466">
        <v>0.27700000000000002</v>
      </c>
      <c r="E94" s="468">
        <v>1082</v>
      </c>
      <c r="F94" s="465">
        <v>0.33200000000000002</v>
      </c>
    </row>
    <row r="95" spans="1:6" ht="16.5" thickBot="1">
      <c r="A95" s="608">
        <v>5</v>
      </c>
      <c r="B95" s="609"/>
      <c r="C95" s="465">
        <v>0.54300000000000004</v>
      </c>
      <c r="D95" s="466">
        <v>0.30499999999999999</v>
      </c>
      <c r="E95" s="468">
        <v>1188</v>
      </c>
      <c r="F95" s="465">
        <v>0.36399999999999999</v>
      </c>
    </row>
    <row r="96" spans="1:6" ht="16.5" thickBot="1">
      <c r="A96" s="608">
        <v>6</v>
      </c>
      <c r="B96" s="609"/>
      <c r="C96" s="465">
        <v>0.56799999999999995</v>
      </c>
      <c r="D96" s="466">
        <v>0.32</v>
      </c>
      <c r="E96" s="468">
        <v>1244</v>
      </c>
      <c r="F96" s="465">
        <v>0.38200000000000001</v>
      </c>
    </row>
    <row r="97" spans="1:6" ht="16.5" thickBot="1">
      <c r="A97" s="607">
        <v>7</v>
      </c>
      <c r="B97" s="607"/>
      <c r="C97" s="465">
        <v>0.59499999999999997</v>
      </c>
      <c r="D97" s="466">
        <v>0.33700000000000002</v>
      </c>
      <c r="E97" s="468">
        <v>1288</v>
      </c>
      <c r="F97" s="465">
        <v>0.40100000000000002</v>
      </c>
    </row>
    <row r="98" spans="1:6" ht="15.75" thickBot="1">
      <c r="A98" s="630" t="s">
        <v>49</v>
      </c>
      <c r="B98" s="630"/>
      <c r="C98" s="630"/>
      <c r="D98" s="630"/>
      <c r="E98" s="630"/>
      <c r="F98" s="630"/>
    </row>
    <row r="99" spans="1:6" ht="16.5" thickBot="1">
      <c r="A99" s="585" t="s">
        <v>61</v>
      </c>
      <c r="B99" s="586"/>
      <c r="C99" s="469">
        <v>12305</v>
      </c>
      <c r="D99" s="631"/>
      <c r="E99" s="568"/>
      <c r="F99" s="568"/>
    </row>
    <row r="100" spans="1:6" ht="16.5" thickBot="1">
      <c r="A100" s="585" t="s">
        <v>69</v>
      </c>
      <c r="B100" s="586"/>
      <c r="C100" s="470">
        <v>4.6500000000000004</v>
      </c>
      <c r="D100" s="631"/>
      <c r="E100" s="568"/>
      <c r="F100" s="568"/>
    </row>
    <row r="101" spans="1:6" ht="15.75" thickBot="1">
      <c r="A101" s="831" t="s">
        <v>310</v>
      </c>
      <c r="B101" s="831"/>
      <c r="C101" s="831"/>
      <c r="D101" s="831"/>
      <c r="E101" s="831"/>
      <c r="F101" s="831"/>
    </row>
    <row r="102" spans="1:6">
      <c r="A102" s="822" t="s">
        <v>346</v>
      </c>
      <c r="B102" s="823"/>
      <c r="C102" s="823"/>
      <c r="D102" s="823"/>
      <c r="E102" s="823"/>
      <c r="F102" s="824"/>
    </row>
    <row r="103" spans="1:6">
      <c r="A103" s="825"/>
      <c r="B103" s="826"/>
      <c r="C103" s="826"/>
      <c r="D103" s="826"/>
      <c r="E103" s="826"/>
      <c r="F103" s="827"/>
    </row>
    <row r="104" spans="1:6" ht="15.75" thickBot="1">
      <c r="A104" s="828"/>
      <c r="B104" s="829"/>
      <c r="C104" s="829"/>
      <c r="D104" s="829"/>
      <c r="E104" s="829"/>
      <c r="F104" s="830"/>
    </row>
  </sheetData>
  <mergeCells count="61">
    <mergeCell ref="A90:F90"/>
    <mergeCell ref="A98:F98"/>
    <mergeCell ref="A99:B99"/>
    <mergeCell ref="D99:F100"/>
    <mergeCell ref="A100:B100"/>
    <mergeCell ref="A91:F91"/>
    <mergeCell ref="A92:B92"/>
    <mergeCell ref="D92:E92"/>
    <mergeCell ref="A93:B93"/>
    <mergeCell ref="A94:B94"/>
    <mergeCell ref="A102:F104"/>
    <mergeCell ref="A101:F101"/>
    <mergeCell ref="K3:K6"/>
    <mergeCell ref="L3:M3"/>
    <mergeCell ref="L4:M4"/>
    <mergeCell ref="L5:M5"/>
    <mergeCell ref="L6:M6"/>
    <mergeCell ref="C68:F68"/>
    <mergeCell ref="A55:C55"/>
    <mergeCell ref="A58:F58"/>
    <mergeCell ref="B44:B45"/>
    <mergeCell ref="D8:F32"/>
    <mergeCell ref="A56:F56"/>
    <mergeCell ref="A95:B95"/>
    <mergeCell ref="A96:B96"/>
    <mergeCell ref="A97:B97"/>
    <mergeCell ref="A2:F2"/>
    <mergeCell ref="A3:F3"/>
    <mergeCell ref="A46:C46"/>
    <mergeCell ref="A48:C48"/>
    <mergeCell ref="A52:C52"/>
    <mergeCell ref="B36:B37"/>
    <mergeCell ref="B38:B39"/>
    <mergeCell ref="B40:B41"/>
    <mergeCell ref="B42:B43"/>
    <mergeCell ref="F35:F55"/>
    <mergeCell ref="B8:C8"/>
    <mergeCell ref="E34:F34"/>
    <mergeCell ref="A53:C53"/>
    <mergeCell ref="A4:F4"/>
    <mergeCell ref="A34:B34"/>
    <mergeCell ref="A6:F6"/>
    <mergeCell ref="A57:F57"/>
    <mergeCell ref="J8:K8"/>
    <mergeCell ref="J9:K9"/>
    <mergeCell ref="B81:B82"/>
    <mergeCell ref="A83:C83"/>
    <mergeCell ref="A67:F67"/>
    <mergeCell ref="A50:C50"/>
    <mergeCell ref="C60:D60"/>
    <mergeCell ref="C61:D61"/>
    <mergeCell ref="C62:D62"/>
    <mergeCell ref="C63:D63"/>
    <mergeCell ref="C64:D64"/>
    <mergeCell ref="A85:C85"/>
    <mergeCell ref="D71:E71"/>
    <mergeCell ref="F70:F71"/>
    <mergeCell ref="B73:B74"/>
    <mergeCell ref="B75:B76"/>
    <mergeCell ref="B77:B78"/>
    <mergeCell ref="B79:B80"/>
  </mergeCells>
  <hyperlinks>
    <hyperlink ref="A26" location="'Frais Réels - détails'!A1" display="10% (ou Frais Réels)"/>
    <hyperlink ref="A3:F3" location="Admin!A110" display="!! pensez à mettre à jour le barème km !!"/>
    <hyperlink ref="A4" location="'simul impots'!A1" display="SIMULATION"/>
    <hyperlink ref="K13" location="'Frais Réels - détails'!A1" display="Frais Réels - détails"/>
    <hyperlink ref="K12" location="'simul impots'!A1" display="Frais Réels - détails"/>
    <hyperlink ref="K15" location="VERIFMAJ!A1" display="VERIFMAJ"/>
    <hyperlink ref="K14" location="'Frais Réels (multi options)'!A1" display="Frais Réels (multi options)"/>
    <hyperlink ref="A2:F2" location="Admin!A70" display="!! pensez à mettre à jour le barème des revenus &amp; les plafonds !!"/>
  </hyperlinks>
  <pageMargins left="0.70866141732283472" right="0.70866141732283472" top="0.74803149606299213" bottom="0.74803149606299213" header="0.31496062992125984" footer="0.31496062992125984"/>
  <pageSetup paperSize="9" scale="55" fitToHeight="3"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55</vt:i4>
      </vt:variant>
    </vt:vector>
  </HeadingPairs>
  <TitlesOfParts>
    <vt:vector size="59" baseType="lpstr">
      <vt:lpstr>simul impots</vt:lpstr>
      <vt:lpstr>Frais Réels - détails</vt:lpstr>
      <vt:lpstr>Frais Réels (multi options)</vt:lpstr>
      <vt:lpstr>VERIFMAJ</vt:lpstr>
      <vt:lpstr>Feuille</vt:lpstr>
      <vt:lpstr>VERIFMAJ!magie_interactive_et_jeux_divers_no174</vt:lpstr>
      <vt:lpstr>VERIFMAJ!magie_interactive_et_jeux_divers_no174_1</vt:lpstr>
      <vt:lpstr>VERIFMAJ!magie_interactive_et_jeux_divers_no174_10</vt:lpstr>
      <vt:lpstr>VERIFMAJ!magie_interactive_et_jeux_divers_no174_11</vt:lpstr>
      <vt:lpstr>VERIFMAJ!magie_interactive_et_jeux_divers_no174_12</vt:lpstr>
      <vt:lpstr>VERIFMAJ!magie_interactive_et_jeux_divers_no174_13</vt:lpstr>
      <vt:lpstr>VERIFMAJ!magie_interactive_et_jeux_divers_no174_14</vt:lpstr>
      <vt:lpstr>VERIFMAJ!magie_interactive_et_jeux_divers_no174_15</vt:lpstr>
      <vt:lpstr>VERIFMAJ!magie_interactive_et_jeux_divers_no174_16</vt:lpstr>
      <vt:lpstr>VERIFMAJ!magie_interactive_et_jeux_divers_no174_17</vt:lpstr>
      <vt:lpstr>VERIFMAJ!magie_interactive_et_jeux_divers_no174_18</vt:lpstr>
      <vt:lpstr>VERIFMAJ!magie_interactive_et_jeux_divers_no174_19</vt:lpstr>
      <vt:lpstr>VERIFMAJ!magie_interactive_et_jeux_divers_no174_2</vt:lpstr>
      <vt:lpstr>VERIFMAJ!magie_interactive_et_jeux_divers_no174_20</vt:lpstr>
      <vt:lpstr>VERIFMAJ!magie_interactive_et_jeux_divers_no174_21</vt:lpstr>
      <vt:lpstr>VERIFMAJ!magie_interactive_et_jeux_divers_no174_22</vt:lpstr>
      <vt:lpstr>VERIFMAJ!magie_interactive_et_jeux_divers_no174_23</vt:lpstr>
      <vt:lpstr>VERIFMAJ!magie_interactive_et_jeux_divers_no174_24</vt:lpstr>
      <vt:lpstr>VERIFMAJ!magie_interactive_et_jeux_divers_no174_25</vt:lpstr>
      <vt:lpstr>VERIFMAJ!magie_interactive_et_jeux_divers_no174_26</vt:lpstr>
      <vt:lpstr>VERIFMAJ!magie_interactive_et_jeux_divers_no174_27</vt:lpstr>
      <vt:lpstr>VERIFMAJ!magie_interactive_et_jeux_divers_no174_28</vt:lpstr>
      <vt:lpstr>VERIFMAJ!magie_interactive_et_jeux_divers_no174_29</vt:lpstr>
      <vt:lpstr>VERIFMAJ!magie_interactive_et_jeux_divers_no174_3</vt:lpstr>
      <vt:lpstr>VERIFMAJ!magie_interactive_et_jeux_divers_no174_30</vt:lpstr>
      <vt:lpstr>VERIFMAJ!magie_interactive_et_jeux_divers_no174_31</vt:lpstr>
      <vt:lpstr>VERIFMAJ!magie_interactive_et_jeux_divers_no174_32</vt:lpstr>
      <vt:lpstr>VERIFMAJ!magie_interactive_et_jeux_divers_no174_33</vt:lpstr>
      <vt:lpstr>VERIFMAJ!magie_interactive_et_jeux_divers_no174_34</vt:lpstr>
      <vt:lpstr>VERIFMAJ!magie_interactive_et_jeux_divers_no174_35</vt:lpstr>
      <vt:lpstr>VERIFMAJ!magie_interactive_et_jeux_divers_no174_36</vt:lpstr>
      <vt:lpstr>VERIFMAJ!magie_interactive_et_jeux_divers_no174_37</vt:lpstr>
      <vt:lpstr>VERIFMAJ!magie_interactive_et_jeux_divers_no174_38</vt:lpstr>
      <vt:lpstr>VERIFMAJ!magie_interactive_et_jeux_divers_no174_39</vt:lpstr>
      <vt:lpstr>VERIFMAJ!magie_interactive_et_jeux_divers_no174_4</vt:lpstr>
      <vt:lpstr>VERIFMAJ!magie_interactive_et_jeux_divers_no174_40</vt:lpstr>
      <vt:lpstr>VERIFMAJ!magie_interactive_et_jeux_divers_no174_41</vt:lpstr>
      <vt:lpstr>VERIFMAJ!magie_interactive_et_jeux_divers_no174_42</vt:lpstr>
      <vt:lpstr>VERIFMAJ!magie_interactive_et_jeux_divers_no174_43</vt:lpstr>
      <vt:lpstr>VERIFMAJ!magie_interactive_et_jeux_divers_no174_44</vt:lpstr>
      <vt:lpstr>VERIFMAJ!magie_interactive_et_jeux_divers_no174_45</vt:lpstr>
      <vt:lpstr>VERIFMAJ!magie_interactive_et_jeux_divers_no174_46</vt:lpstr>
      <vt:lpstr>VERIFMAJ!magie_interactive_et_jeux_divers_no174_47</vt:lpstr>
      <vt:lpstr>VERIFMAJ!magie_interactive_et_jeux_divers_no174_48</vt:lpstr>
      <vt:lpstr>VERIFMAJ!magie_interactive_et_jeux_divers_no174_49</vt:lpstr>
      <vt:lpstr>VERIFMAJ!magie_interactive_et_jeux_divers_no174_5</vt:lpstr>
      <vt:lpstr>VERIFMAJ!magie_interactive_et_jeux_divers_no174_50</vt:lpstr>
      <vt:lpstr>VERIFMAJ!magie_interactive_et_jeux_divers_no174_51</vt:lpstr>
      <vt:lpstr>VERIFMAJ!magie_interactive_et_jeux_divers_no174_6</vt:lpstr>
      <vt:lpstr>VERIFMAJ!magie_interactive_et_jeux_divers_no174_7</vt:lpstr>
      <vt:lpstr>VERIFMAJ!magie_interactive_et_jeux_divers_no174_8</vt:lpstr>
      <vt:lpstr>VERIFMAJ!magie_interactive_et_jeux_divers_no174_9</vt:lpstr>
      <vt:lpstr>MotPasse</vt:lpstr>
      <vt:lpstr>'simul impots'!Zone_d_impression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dc:creator>
  <cp:lastModifiedBy>steven lemer</cp:lastModifiedBy>
  <cp:lastPrinted>2016-11-30T08:37:18Z</cp:lastPrinted>
  <dcterms:created xsi:type="dcterms:W3CDTF">2010-12-28T20:59:47Z</dcterms:created>
  <dcterms:modified xsi:type="dcterms:W3CDTF">2018-02-12T15:41:40Z</dcterms:modified>
</cp:coreProperties>
</file>