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3.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4.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pivotTables/pivotTable1.xml" ContentType="application/vnd.openxmlformats-officedocument.spreadsheetml.pivotTable+xml"/>
  <Override PartName="/xl/drawings/drawing5.xml" ContentType="application/vnd.openxmlformats-officedocument.drawing+xml"/>
  <Override PartName="/xl/slicers/slicer1.xml" ContentType="application/vnd.ms-excel.slicer+xml"/>
  <Override PartName="/xl/charts/chart5.xml" ContentType="application/vnd.openxmlformats-officedocument.drawingml.chart+xml"/>
  <Override PartName="/xl/drawings/drawing6.xml" ContentType="application/vnd.openxmlformats-officedocument.drawing+xml"/>
  <Override PartName="/xl/ctrlProps/ctrlProp3.xml" ContentType="application/vnd.ms-excel.controlproperties+xml"/>
  <Override PartName="/xl/tables/table7.xml" ContentType="application/vnd.openxmlformats-officedocument.spreadsheetml.table+xml"/>
  <Override PartName="/xl/drawings/drawing7.xml" ContentType="application/vnd.openxmlformats-officedocument.drawing+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showInkAnnotation="0" codeName="ThisWorkbook" hidePivotFieldList="1"/>
  <mc:AlternateContent xmlns:mc="http://schemas.openxmlformats.org/markup-compatibility/2006">
    <mc:Choice Requires="x15">
      <x15ac:absPath xmlns:x15ac="http://schemas.microsoft.com/office/spreadsheetml/2010/11/ac" url="D:\"/>
    </mc:Choice>
  </mc:AlternateContent>
  <xr:revisionPtr revIDLastSave="0" documentId="13_ncr:1_{C309DD27-EA3D-4EC6-81D1-A5FB7209CFD2}" xr6:coauthVersionLast="45" xr6:coauthVersionMax="45" xr10:uidLastSave="{00000000-0000-0000-0000-000000000000}"/>
  <workbookProtection workbookAlgorithmName="SHA-512" workbookHashValue="LLPELp7wRTvIBRxLnECfd+brc7sFGvp0sGn5H5W5+15YZhmL26VFWtIMBn9biksTXTwFBgoZ83IBQCO489B1ww==" workbookSaltValue="hdGnw/Gw7zr66HdZZZAJqg==" workbookSpinCount="100000" lockStructure="1"/>
  <bookViews>
    <workbookView xWindow="-120" yWindow="-120" windowWidth="20730" windowHeight="11160" xr2:uid="{00000000-000D-0000-FFFF-FFFF00000000}"/>
  </bookViews>
  <sheets>
    <sheet name="AJOUTER" sheetId="4" r:id="rId1"/>
    <sheet name="TB ANNUEL" sheetId="6" r:id="rId2"/>
    <sheet name="Feuil1" sheetId="19" state="hidden" r:id="rId3"/>
    <sheet name="TB MENSUEL" sheetId="5" r:id="rId4"/>
    <sheet name="TB ANNUEL D" sheetId="13" r:id="rId5"/>
    <sheet name="DETAILS" sheetId="18" r:id="rId6"/>
    <sheet name="OJ" sheetId="3" r:id="rId7"/>
    <sheet name="LAUNCHPAD" sheetId="1" r:id="rId8"/>
    <sheet name="NO TOUCH" sheetId="14" state="hidden" r:id="rId9"/>
    <sheet name="NO TOUCH 2" sheetId="8" state="hidden" r:id="rId10"/>
    <sheet name="REVENU BR" sheetId="48" state="hidden" r:id="rId11"/>
  </sheets>
  <definedNames>
    <definedName name="Animaux">LAUNCHPAD!$H$5:$H$15</definedName>
    <definedName name="Assurances">LAUNCHPAD!$Q$5:$Q$15</definedName>
    <definedName name="Autres">LAUNCHPAD!$S$5:$S$15</definedName>
    <definedName name="Cadeaux">LAUNCHPAD!$I$5:$I$15</definedName>
    <definedName name="Charité">LAUNCHPAD!$J$5:$J$15</definedName>
    <definedName name="Crédit">LAUNCHPAD!$M$5:$M$15</definedName>
    <definedName name="Education">LAUNCHPAD!$L$5:$L$15</definedName>
    <definedName name="Enfants">LAUNCHPAD!$O$5:$O$15</definedName>
    <definedName name="Foyer">LAUNCHPAD!$B$5:$B$15</definedName>
    <definedName name="Housing">LAUNCHPAD!$B$5:$B$15</definedName>
    <definedName name="Impôts">LAUNCHPAD!$P$5:$P$15</definedName>
    <definedName name="Loisirs">LAUNCHPAD!$G$5:$G$15</definedName>
    <definedName name="Médecins_Médicaments">LAUNCHPAD!$N$5:$N$15</definedName>
    <definedName name="Nourritures">LAUNCHPAD!$C$5:$C$15</definedName>
    <definedName name="Prêts">LAUNCHPAD!$R$5:$R$15</definedName>
    <definedName name="Repas">LAUNCHPAD!$C$5:$C$15</definedName>
    <definedName name="Santé">LAUNCHPAD!$N$5:$N$15</definedName>
    <definedName name="Segment_MOIS">#N/A</definedName>
    <definedName name="Self_care">LAUNCHPAD!$F$5:$F$15</definedName>
    <definedName name="Sport">LAUNCHPAD!$K$5:$K$15</definedName>
    <definedName name="Transport">LAUNCHPAD!$D$5:$D$15</definedName>
    <definedName name="Voyage">LAUNCHPAD!$E$5:$E$15</definedName>
  </definedNames>
  <calcPr calcId="181029"/>
  <pivotCaches>
    <pivotCache cacheId="20" r:id="rId12"/>
  </pivotCaches>
  <extLst>
    <ext xmlns:x14="http://schemas.microsoft.com/office/spreadsheetml/2009/9/main" uri="{BBE1A952-AA13-448e-AADC-164F8A28A991}">
      <x14:slicerCaches>
        <x14:slicerCache r:id="rId13"/>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3" i="3" l="1"/>
  <c r="F3" i="3" s="1"/>
  <c r="E5" i="3"/>
  <c r="F5" i="3" s="1"/>
  <c r="E6" i="3"/>
  <c r="F6" i="3" s="1"/>
  <c r="E7" i="3"/>
  <c r="F7" i="3" s="1"/>
  <c r="E8" i="3"/>
  <c r="F8" i="3" s="1"/>
  <c r="E9" i="3"/>
  <c r="F9" i="3" s="1"/>
  <c r="E10" i="3"/>
  <c r="F10" i="3" s="1"/>
  <c r="E11" i="3"/>
  <c r="F11" i="3" s="1"/>
  <c r="E12" i="3"/>
  <c r="F12" i="3" s="1"/>
  <c r="E13" i="3"/>
  <c r="F13" i="3" s="1"/>
  <c r="E14" i="3"/>
  <c r="F14" i="3" s="1"/>
  <c r="E15" i="3"/>
  <c r="F15" i="3" s="1"/>
  <c r="E16" i="3"/>
  <c r="F16" i="3" s="1"/>
  <c r="E17" i="3"/>
  <c r="F17" i="3" s="1"/>
  <c r="E18" i="3"/>
  <c r="F18" i="3" s="1"/>
  <c r="E19" i="3"/>
  <c r="F19" i="3" s="1"/>
  <c r="E20" i="3"/>
  <c r="F20" i="3" s="1"/>
  <c r="E21" i="3"/>
  <c r="F21" i="3" s="1"/>
  <c r="E22" i="3"/>
  <c r="F22" i="3" s="1"/>
  <c r="E23" i="3"/>
  <c r="F23" i="3" s="1"/>
  <c r="E24" i="3"/>
  <c r="F24" i="3" s="1"/>
  <c r="E25" i="3"/>
  <c r="F25" i="3" s="1"/>
  <c r="E26" i="3"/>
  <c r="F26" i="3" s="1"/>
  <c r="E27" i="3"/>
  <c r="F27" i="3" s="1"/>
  <c r="E28" i="3" l="1"/>
  <c r="F28" i="3" s="1"/>
  <c r="E29" i="3"/>
  <c r="F29" i="3" s="1"/>
  <c r="D9" i="48" l="1"/>
  <c r="E9" i="48"/>
  <c r="F9" i="48"/>
  <c r="G9" i="48"/>
  <c r="H9" i="48"/>
  <c r="I9" i="48"/>
  <c r="J9" i="48"/>
  <c r="K9" i="48"/>
  <c r="L9" i="48"/>
  <c r="M9" i="48"/>
  <c r="N9" i="48"/>
  <c r="C9" i="48"/>
  <c r="N8" i="48"/>
  <c r="D8" i="48"/>
  <c r="E8" i="48"/>
  <c r="F8" i="48"/>
  <c r="G8" i="48"/>
  <c r="H8" i="48"/>
  <c r="I8" i="48"/>
  <c r="J8" i="48"/>
  <c r="K8" i="48"/>
  <c r="L8" i="48"/>
  <c r="M8" i="48"/>
  <c r="C8" i="48"/>
  <c r="E3" i="48" l="1"/>
  <c r="C3" i="48" l="1"/>
  <c r="C12" i="48" l="1"/>
  <c r="D12" i="48"/>
  <c r="H12" i="48"/>
  <c r="F12" i="48"/>
  <c r="I12" i="48"/>
  <c r="M12" i="48"/>
  <c r="L12" i="48"/>
  <c r="J12" i="48"/>
  <c r="N12" i="48"/>
  <c r="E12" i="48"/>
  <c r="K12" i="48"/>
  <c r="G12" i="48"/>
  <c r="G17" i="48"/>
  <c r="H3" i="48"/>
  <c r="C17" i="48" l="1"/>
  <c r="F3" i="48"/>
  <c r="E17" i="48"/>
  <c r="G3" i="48"/>
  <c r="F17" i="48"/>
  <c r="H17" i="48"/>
  <c r="I3" i="48"/>
  <c r="G4" i="4"/>
  <c r="D3" i="48" l="1"/>
  <c r="D17" i="48"/>
  <c r="I17" i="48"/>
  <c r="C2" i="19"/>
  <c r="D2" i="19" s="1"/>
  <c r="M25" i="14" l="1"/>
  <c r="M26" i="14"/>
  <c r="M27" i="14"/>
  <c r="L25" i="14"/>
  <c r="L26" i="14"/>
  <c r="L27" i="14"/>
  <c r="K25" i="14"/>
  <c r="K26" i="14"/>
  <c r="K27" i="14"/>
  <c r="J25" i="14"/>
  <c r="J26" i="14"/>
  <c r="J27" i="14"/>
  <c r="I25" i="14"/>
  <c r="I26" i="14"/>
  <c r="I27" i="14"/>
  <c r="H25" i="14"/>
  <c r="H26" i="14"/>
  <c r="H27" i="14"/>
  <c r="G25" i="14"/>
  <c r="G26" i="14"/>
  <c r="G27" i="14"/>
  <c r="F25" i="14"/>
  <c r="F26" i="14"/>
  <c r="F27" i="14"/>
  <c r="E25" i="14"/>
  <c r="E26" i="14"/>
  <c r="E27" i="14"/>
  <c r="D25" i="14"/>
  <c r="D26" i="14"/>
  <c r="D27" i="14"/>
  <c r="C25" i="14"/>
  <c r="C26" i="14"/>
  <c r="C27" i="14"/>
  <c r="B25" i="14"/>
  <c r="N25" i="14" s="1"/>
  <c r="B44" i="14" s="1"/>
  <c r="B26" i="14"/>
  <c r="N26" i="14" s="1"/>
  <c r="B45" i="14" s="1"/>
  <c r="B27" i="14"/>
  <c r="N27" i="14" s="1"/>
  <c r="B46" i="14" s="1"/>
  <c r="B43" i="6"/>
  <c r="B42" i="6"/>
  <c r="B41" i="6"/>
  <c r="B40" i="6"/>
  <c r="C40" i="6"/>
  <c r="D40" i="6"/>
  <c r="E40" i="6"/>
  <c r="F40" i="6"/>
  <c r="G40" i="6"/>
  <c r="H40" i="6"/>
  <c r="I40" i="6"/>
  <c r="J40" i="6"/>
  <c r="K40" i="6"/>
  <c r="L40" i="6"/>
  <c r="M40" i="6"/>
  <c r="N40" i="6"/>
  <c r="C41" i="6"/>
  <c r="D41" i="6"/>
  <c r="E41" i="6"/>
  <c r="F41" i="6"/>
  <c r="G41" i="6"/>
  <c r="H41" i="6"/>
  <c r="I41" i="6"/>
  <c r="J41" i="6"/>
  <c r="K41" i="6"/>
  <c r="L41" i="6"/>
  <c r="M41" i="6"/>
  <c r="N41" i="6"/>
  <c r="C43" i="6"/>
  <c r="F43" i="6"/>
  <c r="J43" i="6"/>
  <c r="L43" i="6"/>
  <c r="N43" i="6"/>
  <c r="D43" i="6" l="1"/>
  <c r="A23" i="14"/>
  <c r="A25" i="14"/>
  <c r="A44" i="14" s="1"/>
  <c r="A26" i="14"/>
  <c r="A45" i="14" s="1"/>
  <c r="A24" i="14"/>
  <c r="A43" i="14" s="1"/>
  <c r="J3" i="48"/>
  <c r="P41" i="6"/>
  <c r="P40" i="6"/>
  <c r="H43" i="6"/>
  <c r="M43" i="6"/>
  <c r="K43" i="6"/>
  <c r="I43" i="6"/>
  <c r="G43" i="6"/>
  <c r="E43" i="6"/>
  <c r="J17" i="48" l="1"/>
  <c r="P43" i="6"/>
  <c r="H1" i="3" l="1"/>
  <c r="G1" i="3"/>
  <c r="K3" i="48" l="1"/>
  <c r="D42" i="6"/>
  <c r="H42" i="6"/>
  <c r="L42" i="6"/>
  <c r="F42" i="6"/>
  <c r="J42" i="6"/>
  <c r="N42" i="6"/>
  <c r="K42" i="6"/>
  <c r="G42" i="6"/>
  <c r="C42" i="6"/>
  <c r="M42" i="6"/>
  <c r="I42" i="6"/>
  <c r="E42" i="6"/>
  <c r="I1" i="3"/>
  <c r="P2" i="4"/>
  <c r="K17" i="48" l="1"/>
  <c r="P42" i="6"/>
  <c r="C4" i="13"/>
  <c r="C4" i="6"/>
  <c r="B22" i="6" l="1"/>
  <c r="C22" i="6"/>
  <c r="C7" i="19" l="1"/>
  <c r="C8" i="19" s="1"/>
  <c r="L3" i="48"/>
  <c r="D16" i="6"/>
  <c r="B13" i="5"/>
  <c r="C25" i="1"/>
  <c r="C4" i="48" s="1"/>
  <c r="L17" i="48" l="1"/>
  <c r="H4" i="5"/>
  <c r="M3" i="48" l="1"/>
  <c r="M17" i="48"/>
  <c r="M2" i="4"/>
  <c r="H2" i="4" s="1"/>
  <c r="N3" i="48" l="1"/>
  <c r="H3" i="4"/>
  <c r="C2" i="4" s="1"/>
  <c r="H6" i="5"/>
  <c r="D12" i="6"/>
  <c r="E12" i="6"/>
  <c r="F12" i="6"/>
  <c r="G12" i="6"/>
  <c r="H12" i="6"/>
  <c r="I12" i="6"/>
  <c r="J12" i="6"/>
  <c r="K12" i="6"/>
  <c r="L12" i="6"/>
  <c r="M12" i="6"/>
  <c r="N12" i="6"/>
  <c r="C12" i="6"/>
  <c r="D4" i="5"/>
  <c r="L5" i="14" l="1"/>
  <c r="J5" i="14"/>
  <c r="H5" i="14"/>
  <c r="F5" i="14"/>
  <c r="D5" i="14"/>
  <c r="M5" i="14"/>
  <c r="K5" i="14"/>
  <c r="I5" i="14"/>
  <c r="G5" i="14"/>
  <c r="E5" i="14"/>
  <c r="C5" i="14"/>
  <c r="C34" i="5"/>
  <c r="C32" i="5"/>
  <c r="C33" i="5"/>
  <c r="C31" i="5"/>
  <c r="B5" i="14"/>
  <c r="P12" i="6"/>
  <c r="J6" i="5"/>
  <c r="C17" i="5"/>
  <c r="C7" i="5"/>
  <c r="B8" i="5"/>
  <c r="B9" i="5"/>
  <c r="B10" i="5"/>
  <c r="B11" i="5"/>
  <c r="B12" i="5"/>
  <c r="B7" i="5"/>
  <c r="N17" i="48" l="1"/>
  <c r="B4" i="8"/>
  <c r="C11" i="5"/>
  <c r="C10" i="5"/>
  <c r="C12" i="5"/>
  <c r="C8" i="5"/>
  <c r="C9" i="5"/>
  <c r="B44" i="6"/>
  <c r="B39" i="6"/>
  <c r="B38" i="6"/>
  <c r="B37" i="6"/>
  <c r="B36" i="6"/>
  <c r="B35" i="6"/>
  <c r="B34" i="6"/>
  <c r="B33" i="6"/>
  <c r="B32" i="6"/>
  <c r="B31" i="6"/>
  <c r="B30" i="6"/>
  <c r="B29" i="6"/>
  <c r="B28" i="6"/>
  <c r="B27" i="6"/>
  <c r="N21" i="6"/>
  <c r="M21" i="6"/>
  <c r="L21" i="6"/>
  <c r="K21" i="6"/>
  <c r="J21" i="6"/>
  <c r="I21" i="6"/>
  <c r="H21" i="6"/>
  <c r="G21" i="6"/>
  <c r="F21" i="6"/>
  <c r="E21" i="6"/>
  <c r="D21" i="6"/>
  <c r="C21" i="6"/>
  <c r="B21" i="6"/>
  <c r="N20" i="6"/>
  <c r="M20" i="6"/>
  <c r="L20" i="6"/>
  <c r="K20" i="6"/>
  <c r="J20" i="6"/>
  <c r="I20" i="6"/>
  <c r="H20" i="6"/>
  <c r="G20" i="6"/>
  <c r="F20" i="6"/>
  <c r="E20" i="6"/>
  <c r="D20" i="6"/>
  <c r="C20" i="6"/>
  <c r="B20" i="6"/>
  <c r="N19" i="6"/>
  <c r="M19" i="6"/>
  <c r="L19" i="6"/>
  <c r="K19" i="6"/>
  <c r="J19" i="6"/>
  <c r="I19" i="6"/>
  <c r="H19" i="6"/>
  <c r="G19" i="6"/>
  <c r="F19" i="6"/>
  <c r="E19" i="6"/>
  <c r="D19" i="6"/>
  <c r="C19" i="6"/>
  <c r="B19" i="6"/>
  <c r="N18" i="6"/>
  <c r="M18" i="6"/>
  <c r="L18" i="6"/>
  <c r="K18" i="6"/>
  <c r="J18" i="6"/>
  <c r="I18" i="6"/>
  <c r="H18" i="6"/>
  <c r="G18" i="6"/>
  <c r="F18" i="6"/>
  <c r="E18" i="6"/>
  <c r="D18" i="6"/>
  <c r="C18" i="6"/>
  <c r="B18" i="6"/>
  <c r="N17" i="6"/>
  <c r="M17" i="6"/>
  <c r="L17" i="6"/>
  <c r="K17" i="6"/>
  <c r="J17" i="6"/>
  <c r="I17" i="6"/>
  <c r="H17" i="6"/>
  <c r="G17" i="6"/>
  <c r="F17" i="6"/>
  <c r="E17" i="6"/>
  <c r="D17" i="6"/>
  <c r="C17" i="6"/>
  <c r="B17" i="6"/>
  <c r="N16" i="6"/>
  <c r="M16" i="6"/>
  <c r="L16" i="6"/>
  <c r="K16" i="6"/>
  <c r="J16" i="6"/>
  <c r="I16" i="6"/>
  <c r="H16" i="6"/>
  <c r="G16" i="6"/>
  <c r="F16" i="6"/>
  <c r="E16" i="6"/>
  <c r="C16" i="6"/>
  <c r="B16" i="6"/>
  <c r="C20" i="5"/>
  <c r="C19" i="5"/>
  <c r="A11" i="14" l="1"/>
  <c r="A30" i="14" s="1"/>
  <c r="A13" i="14"/>
  <c r="A32" i="14" s="1"/>
  <c r="A15" i="14"/>
  <c r="A34" i="14" s="1"/>
  <c r="A17" i="14"/>
  <c r="A36" i="14" s="1"/>
  <c r="A19" i="14"/>
  <c r="A38" i="14" s="1"/>
  <c r="A27" i="14"/>
  <c r="A46" i="14" s="1"/>
  <c r="A12" i="14"/>
  <c r="A31" i="14" s="1"/>
  <c r="A14" i="14"/>
  <c r="A33" i="14" s="1"/>
  <c r="A16" i="14"/>
  <c r="A35" i="14" s="1"/>
  <c r="P17" i="6"/>
  <c r="P19" i="6"/>
  <c r="P21" i="6"/>
  <c r="P18" i="6"/>
  <c r="P20" i="6"/>
  <c r="P16" i="6"/>
  <c r="M38" i="6"/>
  <c r="A21" i="14"/>
  <c r="A40" i="14" s="1"/>
  <c r="N44" i="6"/>
  <c r="A42" i="14"/>
  <c r="N27" i="6"/>
  <c r="A10" i="14"/>
  <c r="A29" i="14" s="1"/>
  <c r="N35" i="6"/>
  <c r="A18" i="14"/>
  <c r="A37" i="14" s="1"/>
  <c r="N37" i="6"/>
  <c r="A20" i="14"/>
  <c r="A39" i="14" s="1"/>
  <c r="N39" i="6"/>
  <c r="A22" i="14"/>
  <c r="A41" i="14" s="1"/>
  <c r="C22" i="5"/>
  <c r="C25" i="5"/>
  <c r="C24" i="5"/>
  <c r="C18" i="5"/>
  <c r="C23" i="5"/>
  <c r="C30" i="5"/>
  <c r="C29" i="5"/>
  <c r="C21" i="5"/>
  <c r="C28" i="5"/>
  <c r="C26" i="5"/>
  <c r="C27" i="5"/>
  <c r="N29" i="6"/>
  <c r="N31" i="6"/>
  <c r="N33" i="6"/>
  <c r="K27" i="6"/>
  <c r="C27" i="6"/>
  <c r="E29" i="6"/>
  <c r="I29" i="6"/>
  <c r="M29" i="6"/>
  <c r="E31" i="6"/>
  <c r="I31" i="6"/>
  <c r="M31" i="6"/>
  <c r="E33" i="6"/>
  <c r="I33" i="6"/>
  <c r="M33" i="6"/>
  <c r="E35" i="6"/>
  <c r="I35" i="6"/>
  <c r="M35" i="6"/>
  <c r="E37" i="6"/>
  <c r="I37" i="6"/>
  <c r="M37" i="6"/>
  <c r="C23" i="6"/>
  <c r="G27" i="6"/>
  <c r="C29" i="6"/>
  <c r="G29" i="6"/>
  <c r="K29" i="6"/>
  <c r="C31" i="6"/>
  <c r="G31" i="6"/>
  <c r="K31" i="6"/>
  <c r="C33" i="6"/>
  <c r="G33" i="6"/>
  <c r="K33" i="6"/>
  <c r="C35" i="6"/>
  <c r="G35" i="6"/>
  <c r="K35" i="6"/>
  <c r="C37" i="6"/>
  <c r="G37" i="6"/>
  <c r="K37" i="6"/>
  <c r="M28" i="6"/>
  <c r="K28" i="6"/>
  <c r="I28" i="6"/>
  <c r="G28" i="6"/>
  <c r="E28" i="6"/>
  <c r="C28" i="6"/>
  <c r="F28" i="6"/>
  <c r="J28" i="6"/>
  <c r="N28" i="6"/>
  <c r="M30" i="6"/>
  <c r="K30" i="6"/>
  <c r="I30" i="6"/>
  <c r="G30" i="6"/>
  <c r="E30" i="6"/>
  <c r="C30" i="6"/>
  <c r="F30" i="6"/>
  <c r="J30" i="6"/>
  <c r="N30" i="6"/>
  <c r="M32" i="6"/>
  <c r="K32" i="6"/>
  <c r="I32" i="6"/>
  <c r="G32" i="6"/>
  <c r="E32" i="6"/>
  <c r="C32" i="6"/>
  <c r="F32" i="6"/>
  <c r="J32" i="6"/>
  <c r="N32" i="6"/>
  <c r="M34" i="6"/>
  <c r="K34" i="6"/>
  <c r="I34" i="6"/>
  <c r="G34" i="6"/>
  <c r="E34" i="6"/>
  <c r="C34" i="6"/>
  <c r="F34" i="6"/>
  <c r="J34" i="6"/>
  <c r="N34" i="6"/>
  <c r="M36" i="6"/>
  <c r="K36" i="6"/>
  <c r="I36" i="6"/>
  <c r="G36" i="6"/>
  <c r="E36" i="6"/>
  <c r="C36" i="6"/>
  <c r="N36" i="6"/>
  <c r="L36" i="6"/>
  <c r="J36" i="6"/>
  <c r="H36" i="6"/>
  <c r="F36" i="6"/>
  <c r="D28" i="6"/>
  <c r="H28" i="6"/>
  <c r="L28" i="6"/>
  <c r="D30" i="6"/>
  <c r="H30" i="6"/>
  <c r="L30" i="6"/>
  <c r="D32" i="6"/>
  <c r="H32" i="6"/>
  <c r="L32" i="6"/>
  <c r="D34" i="6"/>
  <c r="H34" i="6"/>
  <c r="L34" i="6"/>
  <c r="D36" i="6"/>
  <c r="D38" i="6"/>
  <c r="F38" i="6"/>
  <c r="H38" i="6"/>
  <c r="J38" i="6"/>
  <c r="L38" i="6"/>
  <c r="N38" i="6"/>
  <c r="E27" i="6"/>
  <c r="I27" i="6"/>
  <c r="M27" i="6"/>
  <c r="D29" i="6"/>
  <c r="F29" i="6"/>
  <c r="H29" i="6"/>
  <c r="J29" i="6"/>
  <c r="L29" i="6"/>
  <c r="D31" i="6"/>
  <c r="F31" i="6"/>
  <c r="H31" i="6"/>
  <c r="J31" i="6"/>
  <c r="L31" i="6"/>
  <c r="D33" i="6"/>
  <c r="F33" i="6"/>
  <c r="H33" i="6"/>
  <c r="J33" i="6"/>
  <c r="L33" i="6"/>
  <c r="D35" i="6"/>
  <c r="F35" i="6"/>
  <c r="H35" i="6"/>
  <c r="J35" i="6"/>
  <c r="L35" i="6"/>
  <c r="D37" i="6"/>
  <c r="F37" i="6"/>
  <c r="H37" i="6"/>
  <c r="J37" i="6"/>
  <c r="L37" i="6"/>
  <c r="C38" i="6"/>
  <c r="E38" i="6"/>
  <c r="G38" i="6"/>
  <c r="I38" i="6"/>
  <c r="K38" i="6"/>
  <c r="D27" i="6"/>
  <c r="F27" i="6"/>
  <c r="H27" i="6"/>
  <c r="J27" i="6"/>
  <c r="L27" i="6"/>
  <c r="G44" i="6"/>
  <c r="C44" i="6"/>
  <c r="K44" i="6"/>
  <c r="E44" i="6"/>
  <c r="I44" i="6"/>
  <c r="M44" i="6"/>
  <c r="D44" i="6"/>
  <c r="F44" i="6"/>
  <c r="H44" i="6"/>
  <c r="J44" i="6"/>
  <c r="L44" i="6"/>
  <c r="C39" i="6"/>
  <c r="E39" i="6"/>
  <c r="G39" i="6"/>
  <c r="I39" i="6"/>
  <c r="K39" i="6"/>
  <c r="M39" i="6"/>
  <c r="D39" i="6"/>
  <c r="F39" i="6"/>
  <c r="H39" i="6"/>
  <c r="J39" i="6"/>
  <c r="L39" i="6"/>
  <c r="C45" i="6" l="1"/>
  <c r="E12" i="14"/>
  <c r="F12" i="14"/>
  <c r="L12" i="14"/>
  <c r="K12" i="14"/>
  <c r="C12" i="14"/>
  <c r="H12" i="14"/>
  <c r="I12" i="14"/>
  <c r="D12" i="14"/>
  <c r="G12" i="14"/>
  <c r="J12" i="14"/>
  <c r="M12" i="14"/>
  <c r="K16" i="14"/>
  <c r="I16" i="14"/>
  <c r="E16" i="14"/>
  <c r="F16" i="14"/>
  <c r="L16" i="14"/>
  <c r="D16" i="14"/>
  <c r="G16" i="14"/>
  <c r="C16" i="14"/>
  <c r="J16" i="14"/>
  <c r="H16" i="14"/>
  <c r="M16" i="14"/>
  <c r="L45" i="6"/>
  <c r="L13" i="48" s="1"/>
  <c r="D45" i="6"/>
  <c r="J45" i="6"/>
  <c r="J13" i="48" s="1"/>
  <c r="F45" i="6"/>
  <c r="F13" i="48" s="1"/>
  <c r="M45" i="6"/>
  <c r="M13" i="48" s="1"/>
  <c r="E45" i="6"/>
  <c r="E13" i="48" s="1"/>
  <c r="G45" i="6"/>
  <c r="K45" i="6"/>
  <c r="K13" i="48" s="1"/>
  <c r="N45" i="6"/>
  <c r="N13" i="48" s="1"/>
  <c r="H45" i="6"/>
  <c r="H13" i="48" s="1"/>
  <c r="I45" i="6"/>
  <c r="I13" i="48" s="1"/>
  <c r="G22" i="14"/>
  <c r="J22" i="14"/>
  <c r="B22" i="14"/>
  <c r="E23" i="14"/>
  <c r="D23" i="14"/>
  <c r="K10" i="14"/>
  <c r="C10" i="14"/>
  <c r="D21" i="14"/>
  <c r="G20" i="14"/>
  <c r="I18" i="14"/>
  <c r="E14" i="14"/>
  <c r="H10" i="14"/>
  <c r="M21" i="14"/>
  <c r="I21" i="14"/>
  <c r="E21" i="14"/>
  <c r="C19" i="14"/>
  <c r="G17" i="14"/>
  <c r="K15" i="14"/>
  <c r="C15" i="14"/>
  <c r="G13" i="14"/>
  <c r="K11" i="14"/>
  <c r="C11" i="14"/>
  <c r="G19" i="14"/>
  <c r="K19" i="14"/>
  <c r="F19" i="14"/>
  <c r="J19" i="14"/>
  <c r="I22" i="14"/>
  <c r="E22" i="14"/>
  <c r="L22" i="14"/>
  <c r="H22" i="14"/>
  <c r="D22" i="14"/>
  <c r="K23" i="14"/>
  <c r="G23" i="14"/>
  <c r="C23" i="14"/>
  <c r="H23" i="14"/>
  <c r="J23" i="14"/>
  <c r="F23" i="14"/>
  <c r="I10" i="14"/>
  <c r="E10" i="14"/>
  <c r="J21" i="14"/>
  <c r="F21" i="14"/>
  <c r="I20" i="14"/>
  <c r="E20" i="14"/>
  <c r="K18" i="14"/>
  <c r="G18" i="14"/>
  <c r="C18" i="14"/>
  <c r="K14" i="14"/>
  <c r="G14" i="14"/>
  <c r="C14" i="14"/>
  <c r="L10" i="14"/>
  <c r="D10" i="14"/>
  <c r="K21" i="14"/>
  <c r="G21" i="14"/>
  <c r="C21" i="14"/>
  <c r="K17" i="14"/>
  <c r="C17" i="14"/>
  <c r="G15" i="14"/>
  <c r="K13" i="14"/>
  <c r="C13" i="14"/>
  <c r="G11" i="14"/>
  <c r="E19" i="14"/>
  <c r="I19" i="14"/>
  <c r="M19" i="14"/>
  <c r="D19" i="14"/>
  <c r="H19" i="14"/>
  <c r="L19" i="14"/>
  <c r="I17" i="14"/>
  <c r="F17" i="14"/>
  <c r="J17" i="14"/>
  <c r="M15" i="14"/>
  <c r="E15" i="14"/>
  <c r="D15" i="14"/>
  <c r="H15" i="14"/>
  <c r="L15" i="14"/>
  <c r="I13" i="14"/>
  <c r="F13" i="14"/>
  <c r="J13" i="14"/>
  <c r="M11" i="14"/>
  <c r="E11" i="14"/>
  <c r="D11" i="14"/>
  <c r="H11" i="14"/>
  <c r="L11" i="14"/>
  <c r="F20" i="14"/>
  <c r="J18" i="14"/>
  <c r="J14" i="14"/>
  <c r="L20" i="14"/>
  <c r="D20" i="14"/>
  <c r="H18" i="14"/>
  <c r="H14" i="14"/>
  <c r="J10" i="14"/>
  <c r="M14" i="14"/>
  <c r="M22" i="14"/>
  <c r="M20" i="14"/>
  <c r="M18" i="14"/>
  <c r="M10" i="14"/>
  <c r="M23" i="14"/>
  <c r="L21" i="14"/>
  <c r="K22" i="14"/>
  <c r="C22" i="14"/>
  <c r="F22" i="14"/>
  <c r="I23" i="14"/>
  <c r="L23" i="14"/>
  <c r="B23" i="14"/>
  <c r="G10" i="14"/>
  <c r="H21" i="14"/>
  <c r="K20" i="14"/>
  <c r="C20" i="14"/>
  <c r="E18" i="14"/>
  <c r="I14" i="14"/>
  <c r="M17" i="14"/>
  <c r="E17" i="14"/>
  <c r="D17" i="14"/>
  <c r="H17" i="14"/>
  <c r="L17" i="14"/>
  <c r="I15" i="14"/>
  <c r="F15" i="14"/>
  <c r="J15" i="14"/>
  <c r="M13" i="14"/>
  <c r="E13" i="14"/>
  <c r="D13" i="14"/>
  <c r="H13" i="14"/>
  <c r="L13" i="14"/>
  <c r="I11" i="14"/>
  <c r="F11" i="14"/>
  <c r="J11" i="14"/>
  <c r="J20" i="14"/>
  <c r="F18" i="14"/>
  <c r="F14" i="14"/>
  <c r="H20" i="14"/>
  <c r="L18" i="14"/>
  <c r="D18" i="14"/>
  <c r="L14" i="14"/>
  <c r="D14" i="14"/>
  <c r="C35" i="5"/>
  <c r="P39" i="6"/>
  <c r="P44" i="6"/>
  <c r="B19" i="14"/>
  <c r="P36" i="6"/>
  <c r="B15" i="14"/>
  <c r="P32" i="6"/>
  <c r="B11" i="14"/>
  <c r="P28" i="6"/>
  <c r="B20" i="14"/>
  <c r="P37" i="6"/>
  <c r="B16" i="14"/>
  <c r="P33" i="6"/>
  <c r="B12" i="14"/>
  <c r="P29" i="6"/>
  <c r="B10" i="14"/>
  <c r="P27" i="6"/>
  <c r="B21" i="14"/>
  <c r="P38" i="6"/>
  <c r="B17" i="14"/>
  <c r="P34" i="6"/>
  <c r="B13" i="14"/>
  <c r="P30" i="6"/>
  <c r="B18" i="14"/>
  <c r="P35" i="6"/>
  <c r="B14" i="14"/>
  <c r="P31" i="6"/>
  <c r="B6" i="14"/>
  <c r="F10" i="14"/>
  <c r="N12" i="14" l="1"/>
  <c r="B31" i="14" s="1"/>
  <c r="C13" i="48"/>
  <c r="G13" i="48"/>
  <c r="D13" i="48"/>
  <c r="F24" i="14"/>
  <c r="N23" i="14"/>
  <c r="B42" i="14" s="1"/>
  <c r="N16" i="14"/>
  <c r="B35" i="14" s="1"/>
  <c r="N14" i="14"/>
  <c r="B33" i="14" s="1"/>
  <c r="N18" i="14"/>
  <c r="B37" i="14" s="1"/>
  <c r="N13" i="14"/>
  <c r="B32" i="14" s="1"/>
  <c r="N17" i="14"/>
  <c r="B36" i="14" s="1"/>
  <c r="N21" i="14"/>
  <c r="B40" i="14" s="1"/>
  <c r="N19" i="14"/>
  <c r="B38" i="14" s="1"/>
  <c r="N22" i="14"/>
  <c r="B41" i="14" s="1"/>
  <c r="I24" i="14"/>
  <c r="G24" i="14"/>
  <c r="M24" i="14"/>
  <c r="E24" i="14"/>
  <c r="C24" i="14"/>
  <c r="K24" i="14"/>
  <c r="D24" i="14"/>
  <c r="N20" i="14"/>
  <c r="B39" i="14" s="1"/>
  <c r="N11" i="14"/>
  <c r="B30" i="14" s="1"/>
  <c r="N15" i="14"/>
  <c r="B34" i="14" s="1"/>
  <c r="H24" i="14"/>
  <c r="J24" i="14"/>
  <c r="L24" i="14"/>
  <c r="C8" i="6"/>
  <c r="B24" i="14"/>
  <c r="N10" i="14"/>
  <c r="B29" i="14" s="1"/>
  <c r="P45" i="6"/>
  <c r="K4" i="6" s="1"/>
  <c r="E7" i="14"/>
  <c r="B7" i="14"/>
  <c r="J7" i="14"/>
  <c r="G7" i="14"/>
  <c r="M7" i="14"/>
  <c r="L7" i="14"/>
  <c r="H7" i="14"/>
  <c r="I7" i="14"/>
  <c r="F7" i="14"/>
  <c r="C7" i="14"/>
  <c r="K7" i="14"/>
  <c r="D7" i="14"/>
  <c r="B3" i="8"/>
  <c r="C18" i="48" l="1"/>
  <c r="N24" i="14"/>
  <c r="B43" i="14" s="1"/>
  <c r="B4" i="14"/>
  <c r="D24" i="1"/>
  <c r="D25" i="1" s="1"/>
  <c r="D4" i="48" s="1"/>
  <c r="D22" i="6" l="1"/>
  <c r="D7" i="19" l="1"/>
  <c r="D8" i="19" s="1"/>
  <c r="D23" i="6"/>
  <c r="D8" i="6" l="1"/>
  <c r="C6" i="14"/>
  <c r="C4" i="14" l="1"/>
  <c r="D18" i="48"/>
  <c r="E24" i="1"/>
  <c r="E25" i="1" l="1"/>
  <c r="E4" i="48" s="1"/>
  <c r="E22" i="6"/>
  <c r="E7" i="19" l="1"/>
  <c r="E8" i="19" s="1"/>
  <c r="E23" i="6"/>
  <c r="E8" i="6" l="1"/>
  <c r="E18" i="48" s="1"/>
  <c r="D6" i="14"/>
  <c r="F24" i="1" l="1"/>
  <c r="D4" i="14"/>
  <c r="F25" i="1" l="1"/>
  <c r="F4" i="48" s="1"/>
  <c r="F22" i="6"/>
  <c r="F7" i="19" l="1"/>
  <c r="F8" i="19" s="1"/>
  <c r="F23" i="6"/>
  <c r="F8" i="6" l="1"/>
  <c r="F18" i="48" s="1"/>
  <c r="E6" i="14"/>
  <c r="G24" i="1" l="1"/>
  <c r="E4" i="14"/>
  <c r="G25" i="1" l="1"/>
  <c r="G4" i="48" s="1"/>
  <c r="G22" i="6"/>
  <c r="G7" i="19" l="1"/>
  <c r="G8" i="19" s="1"/>
  <c r="G23" i="6"/>
  <c r="G8" i="6" l="1"/>
  <c r="G18" i="48" s="1"/>
  <c r="F6" i="14"/>
  <c r="H24" i="1" l="1"/>
  <c r="F4" i="14"/>
  <c r="H25" i="1" l="1"/>
  <c r="H4" i="48" s="1"/>
  <c r="H22" i="6"/>
  <c r="H7" i="19" l="1"/>
  <c r="H8" i="19" s="1"/>
  <c r="H23" i="6"/>
  <c r="H8" i="6" l="1"/>
  <c r="H18" i="48" s="1"/>
  <c r="G6" i="14"/>
  <c r="I24" i="1" l="1"/>
  <c r="G4" i="14"/>
  <c r="I22" i="6" l="1"/>
  <c r="I25" i="1"/>
  <c r="I4" i="48" s="1"/>
  <c r="I7" i="19" l="1"/>
  <c r="I8" i="19" s="1"/>
  <c r="I23" i="6"/>
  <c r="I8" i="6" l="1"/>
  <c r="I18" i="48" s="1"/>
  <c r="H6" i="14"/>
  <c r="H4" i="14" l="1"/>
  <c r="J24" i="1"/>
  <c r="J25" i="1" l="1"/>
  <c r="J4" i="48" s="1"/>
  <c r="J22" i="6"/>
  <c r="J23" i="6" l="1"/>
  <c r="J7" i="19"/>
  <c r="J8" i="19" s="1"/>
  <c r="J8" i="6" l="1"/>
  <c r="I6" i="14"/>
  <c r="J18" i="48" l="1"/>
  <c r="K24" i="1"/>
  <c r="I4" i="14"/>
  <c r="C13" i="5" l="1"/>
  <c r="C14" i="5" s="1"/>
  <c r="K22" i="6"/>
  <c r="K25" i="1"/>
  <c r="K4" i="48" s="1"/>
  <c r="B2" i="8" l="1"/>
  <c r="J4" i="5"/>
  <c r="P6" i="5"/>
  <c r="B5" i="8" s="1"/>
  <c r="K23" i="6"/>
  <c r="K7" i="19"/>
  <c r="K8" i="19" s="1"/>
  <c r="K8" i="6" l="1"/>
  <c r="K18" i="48" s="1"/>
  <c r="J6" i="14"/>
  <c r="L24" i="1" l="1"/>
  <c r="J4" i="14"/>
  <c r="L25" i="1" l="1"/>
  <c r="L4" i="48" s="1"/>
  <c r="L22" i="6"/>
  <c r="L7" i="19" l="1"/>
  <c r="L8" i="19" s="1"/>
  <c r="L23" i="6"/>
  <c r="L8" i="6" l="1"/>
  <c r="L18" i="48" s="1"/>
  <c r="K6" i="14"/>
  <c r="M24" i="1" l="1"/>
  <c r="K4" i="14"/>
  <c r="M25" i="1" l="1"/>
  <c r="M4" i="48" s="1"/>
  <c r="M22" i="6"/>
  <c r="M23" i="6" l="1"/>
  <c r="M7" i="19"/>
  <c r="M8" i="19" s="1"/>
  <c r="M8" i="6" l="1"/>
  <c r="M18" i="48" s="1"/>
  <c r="L6" i="14"/>
  <c r="N24" i="1" l="1"/>
  <c r="L4" i="14"/>
  <c r="N22" i="6" l="1"/>
  <c r="N25" i="1"/>
  <c r="N4" i="48" s="1"/>
  <c r="N7" i="19" l="1"/>
  <c r="N8" i="19" s="1"/>
  <c r="O8" i="19" s="1"/>
  <c r="P22" i="6" s="1"/>
  <c r="P23" i="6" s="1"/>
  <c r="N23" i="6"/>
  <c r="N8" i="6" l="1"/>
  <c r="M6" i="14"/>
  <c r="N18" i="48" l="1"/>
  <c r="F2" i="4"/>
  <c r="P8" i="6"/>
  <c r="M4" i="14"/>
</calcChain>
</file>

<file path=xl/sharedStrings.xml><?xml version="1.0" encoding="utf-8"?>
<sst xmlns="http://schemas.openxmlformats.org/spreadsheetml/2006/main" count="422" uniqueCount="150">
  <si>
    <t>Nourritures</t>
  </si>
  <si>
    <t>Transport</t>
  </si>
  <si>
    <t>Voyage</t>
  </si>
  <si>
    <t>Loisirs</t>
  </si>
  <si>
    <t>Animaux</t>
  </si>
  <si>
    <t>Cadeaux</t>
  </si>
  <si>
    <t>Charité</t>
  </si>
  <si>
    <t>Sport</t>
  </si>
  <si>
    <t xml:space="preserve">Education </t>
  </si>
  <si>
    <t>Crédit</t>
  </si>
  <si>
    <t>Autres</t>
  </si>
  <si>
    <t>Logement</t>
  </si>
  <si>
    <t>Snack</t>
  </si>
  <si>
    <t>Nourriture</t>
  </si>
  <si>
    <t>Fournitures</t>
  </si>
  <si>
    <t>Restaurant</t>
  </si>
  <si>
    <t>Café</t>
  </si>
  <si>
    <t>Soins</t>
  </si>
  <si>
    <t>Assurance</t>
  </si>
  <si>
    <t>Livres</t>
  </si>
  <si>
    <t>Janvier</t>
  </si>
  <si>
    <t>Février</t>
  </si>
  <si>
    <t>Mars</t>
  </si>
  <si>
    <t>Avril</t>
  </si>
  <si>
    <t>Mai</t>
  </si>
  <si>
    <t>Juin</t>
  </si>
  <si>
    <t>Juillet</t>
  </si>
  <si>
    <t>Août</t>
  </si>
  <si>
    <t>Septembre</t>
  </si>
  <si>
    <t>Octobre</t>
  </si>
  <si>
    <t>Novembre</t>
  </si>
  <si>
    <t>Décembre</t>
  </si>
  <si>
    <t>Salaires</t>
  </si>
  <si>
    <t>Aides Financières</t>
  </si>
  <si>
    <t>Retour d'investissement</t>
  </si>
  <si>
    <t>Total</t>
  </si>
  <si>
    <t>DATE</t>
  </si>
  <si>
    <t>Opération</t>
  </si>
  <si>
    <t>Description</t>
  </si>
  <si>
    <t>Montant</t>
  </si>
  <si>
    <t>Ajouter une Opération</t>
  </si>
  <si>
    <t>Self_Care</t>
  </si>
  <si>
    <t>TABLEAU DE BORD MENSUEL</t>
  </si>
  <si>
    <t xml:space="preserve">MOIS DE </t>
  </si>
  <si>
    <t>ANNÉE </t>
  </si>
  <si>
    <t>TABLEAU DE BORD ANNUEL</t>
  </si>
  <si>
    <t>Argent Liquide de Trésrorie</t>
  </si>
  <si>
    <t>Argent liquide par mois</t>
  </si>
  <si>
    <t>Tendance</t>
  </si>
  <si>
    <t>Revenus</t>
  </si>
  <si>
    <t>Dépenses</t>
  </si>
  <si>
    <t>Tendances</t>
  </si>
  <si>
    <t>TOTAL</t>
  </si>
  <si>
    <t>Colonne1</t>
  </si>
  <si>
    <t>Transport Commun</t>
  </si>
  <si>
    <t>Carburant</t>
  </si>
  <si>
    <t>SANTÉ</t>
  </si>
  <si>
    <t>Ordonnances</t>
  </si>
  <si>
    <t xml:space="preserve">Médicaments </t>
  </si>
  <si>
    <t>Consultation</t>
  </si>
  <si>
    <t>Hébergement</t>
  </si>
  <si>
    <t>Souvenirs</t>
  </si>
  <si>
    <t>Voiture de location</t>
  </si>
  <si>
    <t>Équipements de sport</t>
  </si>
  <si>
    <t>Habillement</t>
  </si>
  <si>
    <t>Divers</t>
  </si>
  <si>
    <t>Intérêts/Dividendes</t>
  </si>
  <si>
    <t>Foyer</t>
  </si>
  <si>
    <t>Dons</t>
  </si>
  <si>
    <t>Vétérinaire</t>
  </si>
  <si>
    <t>Ménage</t>
  </si>
  <si>
    <t>Abonnements</t>
  </si>
  <si>
    <t>Assurances</t>
  </si>
  <si>
    <t>Epargne</t>
  </si>
  <si>
    <t>Colonne2</t>
  </si>
  <si>
    <t>Revenu</t>
  </si>
  <si>
    <t>Flux de trésrorie</t>
  </si>
  <si>
    <t>Flux de Trésrorie</t>
  </si>
  <si>
    <t>Aujourd'hui</t>
  </si>
  <si>
    <t>Flux de Trésrerie M-1</t>
  </si>
  <si>
    <t>Somme de MONTANT</t>
  </si>
  <si>
    <t>V</t>
  </si>
  <si>
    <t>MOIS</t>
  </si>
  <si>
    <t>Meryem.BENLAHBIB@Gmail.com</t>
  </si>
  <si>
    <t>Frais de scolarité</t>
  </si>
  <si>
    <t>Parents</t>
  </si>
  <si>
    <t>HAMMAM</t>
  </si>
  <si>
    <t>Hygiène</t>
  </si>
  <si>
    <t>Santé</t>
  </si>
  <si>
    <t>Prêts</t>
  </si>
  <si>
    <t>Repas</t>
  </si>
  <si>
    <t>Frais médicaux</t>
  </si>
  <si>
    <t>Jouets</t>
  </si>
  <si>
    <t>Enfants</t>
  </si>
  <si>
    <t>Impôts</t>
  </si>
  <si>
    <t>Frais de stationnement</t>
  </si>
  <si>
    <t>Co-voiturage</t>
  </si>
  <si>
    <t>Club de sport</t>
  </si>
  <si>
    <t>Eau, Electricité, Gaz</t>
  </si>
  <si>
    <t>Internet et Téléphone</t>
  </si>
  <si>
    <t>Activités extrascolaires</t>
  </si>
  <si>
    <t>Fournitures scolaires</t>
  </si>
  <si>
    <t>Avion</t>
  </si>
  <si>
    <t>Entretien/Réparations</t>
  </si>
  <si>
    <t>Coiffeur</t>
  </si>
  <si>
    <t>Manucure</t>
  </si>
  <si>
    <t>Voiture</t>
  </si>
  <si>
    <t>Maison</t>
  </si>
  <si>
    <t>Scolarité</t>
  </si>
  <si>
    <t>Impôt 1</t>
  </si>
  <si>
    <t>impôt 2</t>
  </si>
  <si>
    <t>Prêt 1</t>
  </si>
  <si>
    <t>Prêt 2</t>
  </si>
  <si>
    <t>Loisirs 2</t>
  </si>
  <si>
    <t>Loisirs 3</t>
  </si>
  <si>
    <t>janvier</t>
  </si>
  <si>
    <t>février</t>
  </si>
  <si>
    <t>mars</t>
  </si>
  <si>
    <t>avril</t>
  </si>
  <si>
    <t>mai</t>
  </si>
  <si>
    <t>juin</t>
  </si>
  <si>
    <t>juillet</t>
  </si>
  <si>
    <t>août</t>
  </si>
  <si>
    <t>septembre</t>
  </si>
  <si>
    <t>octobre</t>
  </si>
  <si>
    <t>novembre</t>
  </si>
  <si>
    <t>décembre</t>
  </si>
  <si>
    <t>Dépense moyenne journalière</t>
  </si>
  <si>
    <t>Soufiane</t>
  </si>
  <si>
    <t>Ihssane</t>
  </si>
  <si>
    <t>Driss</t>
  </si>
  <si>
    <t>Amies</t>
  </si>
  <si>
    <t>Revenu Prévisionnel</t>
  </si>
  <si>
    <t>Revenu Réel</t>
  </si>
  <si>
    <t>Epargne Prévisionnelle</t>
  </si>
  <si>
    <t>Epargne Réelle</t>
  </si>
  <si>
    <t>Charges Prévisionnelles</t>
  </si>
  <si>
    <t>Charges Réelles</t>
  </si>
  <si>
    <t>Argents Liquides Réels</t>
  </si>
  <si>
    <t>Argents Liquides prévisionnels</t>
  </si>
  <si>
    <t>Maquillage</t>
  </si>
  <si>
    <t>OPERATIONS</t>
  </si>
  <si>
    <t>DESCRIPTION</t>
  </si>
  <si>
    <t>MONTANT</t>
  </si>
  <si>
    <t>Aymane</t>
  </si>
  <si>
    <t>Étiquettes de lignes</t>
  </si>
  <si>
    <t>(vide)</t>
  </si>
  <si>
    <t>Total général</t>
  </si>
  <si>
    <t>(Tous)</t>
  </si>
  <si>
    <t>Loisirs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</si>
</sst>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_-* #,##0.00\ _€_-;\-* #,##0.00\ _€_-;_-* &quot;-&quot;??\ _€_-;_-@_-"/>
    <numFmt numFmtId="165" formatCode="_(* #,##0.00_);_(* \(#,##0.00\);_(* &quot;-&quot;??_);_(@_)"/>
    <numFmt numFmtId="166" formatCode="[$-F800]dddd\,\ mmmm\ dd\,\ yyyy"/>
    <numFmt numFmtId="167" formatCode="h:mm;@"/>
  </numFmts>
  <fonts count="39" x14ac:knownFonts="1">
    <font>
      <sz val="11"/>
      <color theme="1"/>
      <name val="Calibri"/>
      <family val="2"/>
      <scheme val="minor"/>
    </font>
    <font>
      <sz val="11"/>
      <color theme="1"/>
      <name val="Calibri"/>
      <family val="2"/>
      <scheme val="minor"/>
    </font>
    <font>
      <sz val="16"/>
      <color theme="1"/>
      <name val="Gill Sans MT"/>
      <family val="2"/>
    </font>
    <font>
      <sz val="11"/>
      <color theme="1"/>
      <name val="Gill Sans MT"/>
      <family val="2"/>
    </font>
    <font>
      <sz val="14"/>
      <color theme="1"/>
      <name val="Gill Sans MT"/>
      <family val="2"/>
    </font>
    <font>
      <sz val="12"/>
      <color theme="1"/>
      <name val="Gill Sans MT"/>
      <family val="2"/>
    </font>
    <font>
      <sz val="11"/>
      <color theme="4"/>
      <name val="Calibri"/>
      <family val="2"/>
      <scheme val="minor"/>
    </font>
    <font>
      <sz val="11"/>
      <color rgb="FFFFCCCC"/>
      <name val="Calibri"/>
      <family val="2"/>
      <scheme val="minor"/>
    </font>
    <font>
      <u/>
      <sz val="26"/>
      <color theme="1"/>
      <name val="Gill Sans MT"/>
      <family val="2"/>
    </font>
    <font>
      <u/>
      <sz val="11"/>
      <color theme="1"/>
      <name val="Calibri"/>
      <family val="2"/>
      <scheme val="minor"/>
    </font>
    <font>
      <b/>
      <sz val="24"/>
      <color theme="0"/>
      <name val="Calibri"/>
      <family val="2"/>
      <scheme val="minor"/>
    </font>
    <font>
      <b/>
      <sz val="16"/>
      <color theme="4"/>
      <name val="Bookman Old Style"/>
      <family val="1"/>
    </font>
    <font>
      <b/>
      <sz val="24"/>
      <color theme="0"/>
      <name val="Bookman Old Style"/>
      <family val="1"/>
    </font>
    <font>
      <sz val="10"/>
      <color theme="1"/>
      <name val="Bookman Old Style"/>
      <family val="1"/>
    </font>
    <font>
      <b/>
      <sz val="10"/>
      <color theme="0"/>
      <name val="Bookman Old Style"/>
      <family val="1"/>
    </font>
    <font>
      <sz val="10"/>
      <color theme="4" tint="-0.499984740745262"/>
      <name val="Bookman Old Style"/>
      <family val="1"/>
    </font>
    <font>
      <sz val="11"/>
      <color theme="4" tint="-0.499984740745262"/>
      <name val="Calibri"/>
      <family val="2"/>
      <scheme val="minor"/>
    </font>
    <font>
      <sz val="11"/>
      <color rgb="FF000000"/>
      <name val="Calibri"/>
      <family val="2"/>
    </font>
    <font>
      <b/>
      <sz val="11"/>
      <color theme="0"/>
      <name val="Calibri"/>
      <family val="2"/>
      <scheme val="minor"/>
    </font>
    <font>
      <b/>
      <sz val="11"/>
      <color theme="1"/>
      <name val="Calibri"/>
      <family val="2"/>
      <scheme val="minor"/>
    </font>
    <font>
      <sz val="11"/>
      <color theme="0"/>
      <name val="Calibri"/>
      <family val="2"/>
      <scheme val="minor"/>
    </font>
    <font>
      <b/>
      <sz val="16"/>
      <color theme="4" tint="-0.249977111117893"/>
      <name val="Gill Sans MT"/>
      <family val="2"/>
    </font>
    <font>
      <b/>
      <sz val="18"/>
      <color theme="4" tint="-0.249977111117893"/>
      <name val="Gill Sans MT"/>
      <family val="2"/>
    </font>
    <font>
      <sz val="11"/>
      <color theme="4" tint="-0.249977111117893"/>
      <name val="Calibri"/>
      <family val="2"/>
      <scheme val="minor"/>
    </font>
    <font>
      <sz val="14"/>
      <color theme="1"/>
      <name val="Calibri"/>
      <family val="2"/>
      <scheme val="minor"/>
    </font>
    <font>
      <sz val="14"/>
      <color rgb="FFFF0000"/>
      <name val="Gill Sans MT"/>
      <family val="2"/>
    </font>
    <font>
      <sz val="16"/>
      <color theme="0"/>
      <name val="Calibri"/>
      <family val="2"/>
      <scheme val="minor"/>
    </font>
    <font>
      <b/>
      <sz val="14"/>
      <color theme="4" tint="-0.249977111117893"/>
      <name val="Gill Sans MT"/>
      <family val="2"/>
    </font>
    <font>
      <sz val="16"/>
      <color rgb="FFFF0000"/>
      <name val="Gill Sans MT"/>
      <family val="2"/>
    </font>
    <font>
      <u/>
      <sz val="11"/>
      <color theme="10"/>
      <name val="Calibri"/>
      <family val="2"/>
      <scheme val="minor"/>
    </font>
    <font>
      <b/>
      <sz val="11"/>
      <color theme="0"/>
      <name val="Calibri"/>
      <family val="2"/>
      <scheme val="minor"/>
    </font>
    <font>
      <b/>
      <sz val="11"/>
      <color theme="8"/>
      <name val="Calibri"/>
      <family val="2"/>
      <scheme val="minor"/>
    </font>
    <font>
      <sz val="11"/>
      <color rgb="FF00CC99"/>
      <name val="Calibri"/>
      <family val="2"/>
      <scheme val="minor"/>
    </font>
    <font>
      <b/>
      <sz val="16"/>
      <color theme="3" tint="0.39997558519241921"/>
      <name val="Bookman Old Style"/>
      <family val="1"/>
    </font>
    <font>
      <sz val="11"/>
      <color theme="3" tint="0.39997558519241921"/>
      <name val="Calibri"/>
      <family val="2"/>
      <scheme val="minor"/>
    </font>
    <font>
      <b/>
      <sz val="28"/>
      <color theme="0"/>
      <name val="Calibri"/>
      <family val="2"/>
      <scheme val="minor"/>
    </font>
    <font>
      <b/>
      <sz val="28"/>
      <color theme="0"/>
      <name val="Bookman Old Style"/>
      <family val="1"/>
    </font>
    <font>
      <sz val="14"/>
      <color rgb="FF000000"/>
      <name val="Gill Sans MT"/>
      <family val="2"/>
    </font>
    <font>
      <u/>
      <sz val="12"/>
      <color theme="10"/>
      <name val="Calibri"/>
      <family val="2"/>
      <scheme val="minor"/>
    </font>
  </fonts>
  <fills count="13">
    <fill>
      <patternFill patternType="none"/>
    </fill>
    <fill>
      <patternFill patternType="gray125"/>
    </fill>
    <fill>
      <patternFill patternType="solid">
        <fgColor theme="0"/>
        <bgColor indexed="64"/>
      </patternFill>
    </fill>
    <fill>
      <patternFill patternType="solid">
        <fgColor theme="8" tint="0.79998168889431442"/>
        <bgColor indexed="64"/>
      </patternFill>
    </fill>
    <fill>
      <patternFill patternType="solid">
        <fgColor theme="4" tint="0.39997558519241921"/>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rgb="FFFFCCCC"/>
        <bgColor indexed="64"/>
      </patternFill>
    </fill>
    <fill>
      <patternFill patternType="solid">
        <fgColor theme="9" tint="0.79998168889431442"/>
        <bgColor indexed="64"/>
      </patternFill>
    </fill>
    <fill>
      <patternFill patternType="solid">
        <fgColor theme="8" tint="0.59999389629810485"/>
        <bgColor indexed="64"/>
      </patternFill>
    </fill>
    <fill>
      <patternFill patternType="solid">
        <fgColor theme="3"/>
        <bgColor indexed="64"/>
      </patternFill>
    </fill>
    <fill>
      <patternFill patternType="solid">
        <fgColor theme="5" tint="0.79998168889431442"/>
        <bgColor indexed="64"/>
      </patternFill>
    </fill>
    <fill>
      <patternFill patternType="solid">
        <fgColor theme="6" tint="0.79998168889431442"/>
        <bgColor indexed="64"/>
      </patternFill>
    </fill>
  </fills>
  <borders count="9">
    <border>
      <left/>
      <right/>
      <top/>
      <bottom/>
      <diagonal/>
    </border>
    <border>
      <left/>
      <right/>
      <top style="thin">
        <color indexed="64"/>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style="thin">
        <color theme="8"/>
      </top>
      <bottom style="thin">
        <color theme="8"/>
      </bottom>
      <diagonal/>
    </border>
    <border>
      <left style="thin">
        <color indexed="64"/>
      </left>
      <right style="thin">
        <color indexed="64"/>
      </right>
      <top/>
      <bottom/>
      <diagonal/>
    </border>
  </borders>
  <cellStyleXfs count="4">
    <xf numFmtId="0" fontId="0" fillId="0" borderId="0"/>
    <xf numFmtId="165" fontId="1" fillId="0" borderId="0" applyFont="0" applyFill="0" applyBorder="0" applyAlignment="0" applyProtection="0"/>
    <xf numFmtId="9" fontId="1" fillId="0" borderId="0" applyFont="0" applyFill="0" applyBorder="0" applyAlignment="0" applyProtection="0"/>
    <xf numFmtId="0" fontId="29" fillId="0" borderId="0" applyNumberFormat="0" applyFill="0" applyBorder="0" applyAlignment="0" applyProtection="0"/>
  </cellStyleXfs>
  <cellXfs count="103">
    <xf numFmtId="0" fontId="0" fillId="0" borderId="0" xfId="0"/>
    <xf numFmtId="0" fontId="0" fillId="2" borderId="0" xfId="0" applyFill="1"/>
    <xf numFmtId="0" fontId="2" fillId="3" borderId="0" xfId="0" applyFont="1" applyFill="1"/>
    <xf numFmtId="0" fontId="5" fillId="3" borderId="2" xfId="0" applyFont="1" applyFill="1" applyBorder="1"/>
    <xf numFmtId="0" fontId="5" fillId="2" borderId="1" xfId="0" applyFont="1" applyFill="1" applyBorder="1"/>
    <xf numFmtId="165" fontId="5" fillId="2" borderId="1" xfId="1" applyFont="1" applyFill="1" applyBorder="1"/>
    <xf numFmtId="0" fontId="0" fillId="6" borderId="0" xfId="0" applyFill="1"/>
    <xf numFmtId="0" fontId="0" fillId="7" borderId="0" xfId="0" applyFill="1"/>
    <xf numFmtId="0" fontId="7" fillId="7" borderId="0" xfId="0" applyFont="1" applyFill="1"/>
    <xf numFmtId="0" fontId="0" fillId="8" borderId="0" xfId="0" applyFill="1"/>
    <xf numFmtId="0" fontId="0" fillId="9" borderId="0" xfId="0" applyFill="1"/>
    <xf numFmtId="0" fontId="8" fillId="2" borderId="0" xfId="0" applyFont="1" applyFill="1"/>
    <xf numFmtId="0" fontId="9" fillId="2" borderId="0" xfId="0" applyFont="1" applyFill="1"/>
    <xf numFmtId="0" fontId="2" fillId="2" borderId="3" xfId="0" applyFont="1" applyFill="1" applyBorder="1" applyAlignment="1">
      <alignment horizontal="left" vertical="center"/>
    </xf>
    <xf numFmtId="0" fontId="10" fillId="2" borderId="0" xfId="0" applyFont="1" applyFill="1"/>
    <xf numFmtId="0" fontId="10" fillId="5" borderId="0" xfId="0" applyFont="1" applyFill="1"/>
    <xf numFmtId="0" fontId="4" fillId="2" borderId="4" xfId="0" applyFont="1" applyFill="1" applyBorder="1"/>
    <xf numFmtId="0" fontId="11" fillId="2" borderId="0" xfId="0" applyFont="1" applyFill="1" applyAlignment="1">
      <alignment horizontal="right"/>
    </xf>
    <xf numFmtId="0" fontId="11" fillId="2" borderId="0" xfId="0" applyFont="1" applyFill="1" applyAlignment="1">
      <alignment horizontal="left"/>
    </xf>
    <xf numFmtId="0" fontId="12" fillId="5" borderId="0" xfId="0" applyFont="1" applyFill="1"/>
    <xf numFmtId="0" fontId="13" fillId="2" borderId="0" xfId="0" applyFont="1" applyFill="1"/>
    <xf numFmtId="0" fontId="14" fillId="4" borderId="0" xfId="0" applyFont="1" applyFill="1" applyAlignment="1">
      <alignment horizontal="left" vertical="center" indent="1"/>
    </xf>
    <xf numFmtId="0" fontId="15" fillId="2" borderId="0" xfId="0" applyFont="1" applyFill="1"/>
    <xf numFmtId="165" fontId="0" fillId="2" borderId="0" xfId="0" applyNumberFormat="1" applyFill="1"/>
    <xf numFmtId="0" fontId="16" fillId="2" borderId="0" xfId="0" applyFont="1" applyFill="1" applyAlignment="1">
      <alignment horizontal="center"/>
    </xf>
    <xf numFmtId="0" fontId="0" fillId="2" borderId="0" xfId="0" applyFill="1" applyAlignment="1">
      <alignment horizontal="center"/>
    </xf>
    <xf numFmtId="0" fontId="20" fillId="2" borderId="0" xfId="0" applyFont="1" applyFill="1"/>
    <xf numFmtId="0" fontId="19" fillId="2" borderId="0" xfId="0" applyFont="1" applyFill="1"/>
    <xf numFmtId="0" fontId="18" fillId="10" borderId="0" xfId="0" applyFont="1" applyFill="1"/>
    <xf numFmtId="165" fontId="18" fillId="10" borderId="0" xfId="1" applyFont="1" applyFill="1" applyAlignment="1">
      <alignment horizontal="center"/>
    </xf>
    <xf numFmtId="0" fontId="0" fillId="0" borderId="6" xfId="0" applyBorder="1"/>
    <xf numFmtId="0" fontId="21" fillId="2" borderId="0" xfId="0" applyFont="1" applyFill="1"/>
    <xf numFmtId="0" fontId="21" fillId="2" borderId="7" xfId="0" applyFont="1" applyFill="1" applyBorder="1"/>
    <xf numFmtId="165" fontId="22" fillId="2" borderId="0" xfId="1" applyFont="1" applyFill="1"/>
    <xf numFmtId="0" fontId="23" fillId="2" borderId="0" xfId="0" applyFont="1" applyFill="1"/>
    <xf numFmtId="0" fontId="21" fillId="2" borderId="0" xfId="0" applyFont="1" applyFill="1" applyAlignment="1"/>
    <xf numFmtId="165" fontId="19" fillId="2" borderId="0" xfId="1" applyFont="1" applyFill="1"/>
    <xf numFmtId="165" fontId="21" fillId="2" borderId="7" xfId="0" applyNumberFormat="1" applyFont="1" applyFill="1" applyBorder="1"/>
    <xf numFmtId="0" fontId="24" fillId="2" borderId="0" xfId="0" applyFont="1" applyFill="1" applyAlignment="1">
      <alignment wrapText="1"/>
    </xf>
    <xf numFmtId="165" fontId="4" fillId="11" borderId="0" xfId="0" applyNumberFormat="1" applyFont="1" applyFill="1" applyBorder="1"/>
    <xf numFmtId="166" fontId="25" fillId="2" borderId="0" xfId="0" applyNumberFormat="1" applyFont="1" applyFill="1"/>
    <xf numFmtId="0" fontId="26" fillId="2" borderId="0" xfId="0" applyFont="1" applyFill="1"/>
    <xf numFmtId="0" fontId="5" fillId="11" borderId="0" xfId="0" applyFont="1" applyFill="1" applyBorder="1"/>
    <xf numFmtId="165" fontId="5" fillId="11" borderId="0" xfId="1" applyFont="1" applyFill="1" applyBorder="1"/>
    <xf numFmtId="165" fontId="0" fillId="2" borderId="0" xfId="1" applyFont="1" applyFill="1"/>
    <xf numFmtId="10" fontId="5" fillId="2" borderId="0" xfId="2" applyNumberFormat="1" applyFont="1" applyFill="1"/>
    <xf numFmtId="0" fontId="27" fillId="2" borderId="7" xfId="0" applyFont="1" applyFill="1" applyBorder="1"/>
    <xf numFmtId="10" fontId="28" fillId="2" borderId="0" xfId="2" applyNumberFormat="1" applyFont="1" applyFill="1" applyAlignment="1">
      <alignment horizontal="center"/>
    </xf>
    <xf numFmtId="165" fontId="19" fillId="2" borderId="0" xfId="1" applyNumberFormat="1" applyFont="1" applyFill="1"/>
    <xf numFmtId="0" fontId="30" fillId="10" borderId="0" xfId="0" applyFont="1" applyFill="1"/>
    <xf numFmtId="165" fontId="30" fillId="10" borderId="0" xfId="0" applyNumberFormat="1" applyFont="1" applyFill="1" applyAlignment="1">
      <alignment horizontal="center"/>
    </xf>
    <xf numFmtId="10" fontId="2" fillId="2" borderId="3" xfId="2" applyNumberFormat="1" applyFont="1" applyFill="1" applyBorder="1"/>
    <xf numFmtId="165" fontId="0" fillId="0" borderId="6" xfId="0" applyNumberFormat="1" applyBorder="1"/>
    <xf numFmtId="0" fontId="0" fillId="2" borderId="6" xfId="0" applyFill="1" applyBorder="1"/>
    <xf numFmtId="165" fontId="0" fillId="2" borderId="6" xfId="0" applyNumberFormat="1" applyFill="1" applyBorder="1"/>
    <xf numFmtId="14" fontId="2" fillId="2" borderId="3" xfId="0" applyNumberFormat="1" applyFont="1" applyFill="1" applyBorder="1" applyAlignment="1" applyProtection="1">
      <alignment horizontal="center" vertical="center"/>
      <protection locked="0"/>
    </xf>
    <xf numFmtId="0" fontId="2" fillId="2" borderId="3" xfId="0" applyFont="1" applyFill="1" applyBorder="1" applyAlignment="1" applyProtection="1">
      <alignment horizontal="center" vertical="center"/>
      <protection locked="0"/>
    </xf>
    <xf numFmtId="165" fontId="2" fillId="2" borderId="3" xfId="1" applyFont="1" applyFill="1" applyBorder="1" applyAlignment="1" applyProtection="1">
      <alignment horizontal="right" vertical="center"/>
      <protection locked="0"/>
    </xf>
    <xf numFmtId="0" fontId="3" fillId="2" borderId="1" xfId="0" applyFont="1" applyFill="1" applyBorder="1" applyProtection="1">
      <protection locked="0"/>
    </xf>
    <xf numFmtId="0" fontId="5" fillId="2" borderId="1" xfId="0" applyFont="1" applyFill="1" applyBorder="1" applyProtection="1">
      <protection locked="0"/>
    </xf>
    <xf numFmtId="165" fontId="5" fillId="2" borderId="1" xfId="1" applyFont="1" applyFill="1" applyBorder="1" applyProtection="1">
      <protection locked="0"/>
    </xf>
    <xf numFmtId="165" fontId="5" fillId="2" borderId="1" xfId="1" applyFont="1" applyFill="1" applyBorder="1" applyAlignment="1" applyProtection="1">
      <alignment horizontal="left"/>
      <protection locked="0"/>
    </xf>
    <xf numFmtId="0" fontId="4" fillId="2" borderId="5" xfId="0" applyFont="1" applyFill="1" applyBorder="1" applyProtection="1">
      <protection locked="0"/>
    </xf>
    <xf numFmtId="0" fontId="0" fillId="2" borderId="0" xfId="0" applyFill="1" applyProtection="1">
      <protection locked="0"/>
    </xf>
    <xf numFmtId="0" fontId="3" fillId="2" borderId="0" xfId="0" applyFont="1" applyFill="1" applyProtection="1">
      <protection locked="0"/>
    </xf>
    <xf numFmtId="165" fontId="5" fillId="2" borderId="0" xfId="1" applyFont="1" applyFill="1" applyBorder="1" applyProtection="1">
      <protection locked="0"/>
    </xf>
    <xf numFmtId="167" fontId="25" fillId="2" borderId="0" xfId="0" applyNumberFormat="1" applyFont="1" applyFill="1" applyAlignment="1">
      <alignment horizontal="left"/>
    </xf>
    <xf numFmtId="165" fontId="31" fillId="12" borderId="0" xfId="1" applyFont="1" applyFill="1"/>
    <xf numFmtId="165" fontId="31" fillId="12" borderId="0" xfId="1" applyFont="1" applyFill="1" applyAlignment="1">
      <alignment horizontal="center"/>
    </xf>
    <xf numFmtId="165" fontId="31" fillId="12" borderId="0" xfId="1" applyFont="1" applyFill="1" applyProtection="1">
      <protection locked="0"/>
    </xf>
    <xf numFmtId="165" fontId="0" fillId="2" borderId="0" xfId="0" applyNumberFormat="1" applyFill="1" applyProtection="1">
      <protection locked="0"/>
    </xf>
    <xf numFmtId="165" fontId="0" fillId="2" borderId="0" xfId="0" applyNumberFormat="1" applyFont="1" applyFill="1" applyProtection="1">
      <protection locked="0"/>
    </xf>
    <xf numFmtId="0" fontId="11" fillId="2" borderId="0" xfId="0" applyFont="1" applyFill="1" applyAlignment="1"/>
    <xf numFmtId="0" fontId="32" fillId="2" borderId="0" xfId="0" applyFont="1" applyFill="1"/>
    <xf numFmtId="0" fontId="34" fillId="2" borderId="0" xfId="0" applyFont="1" applyFill="1"/>
    <xf numFmtId="165" fontId="33" fillId="2" borderId="0" xfId="1" applyFont="1" applyFill="1" applyAlignment="1">
      <alignment horizontal="center"/>
    </xf>
    <xf numFmtId="0" fontId="33" fillId="2" borderId="0" xfId="0" applyFont="1" applyFill="1" applyAlignment="1">
      <alignment horizontal="left" vertical="center"/>
    </xf>
    <xf numFmtId="14" fontId="20" fillId="2" borderId="0" xfId="0" applyNumberFormat="1" applyFont="1" applyFill="1"/>
    <xf numFmtId="165" fontId="31" fillId="12" borderId="0" xfId="1" applyNumberFormat="1" applyFont="1" applyFill="1"/>
    <xf numFmtId="14" fontId="20" fillId="2" borderId="0" xfId="0" applyNumberFormat="1" applyFont="1" applyFill="1" applyProtection="1">
      <protection locked="0"/>
    </xf>
    <xf numFmtId="0" fontId="20" fillId="2" borderId="0" xfId="0" applyFont="1" applyFill="1" applyProtection="1">
      <protection locked="0"/>
    </xf>
    <xf numFmtId="14" fontId="6" fillId="2" borderId="0" xfId="0" applyNumberFormat="1" applyFont="1" applyFill="1" applyProtection="1"/>
    <xf numFmtId="0" fontId="6" fillId="2" borderId="0" xfId="0" applyFont="1" applyFill="1" applyProtection="1"/>
    <xf numFmtId="165" fontId="6" fillId="2" borderId="0" xfId="1" applyFont="1" applyFill="1" applyProtection="1"/>
    <xf numFmtId="0" fontId="0" fillId="2" borderId="0" xfId="0" applyFill="1" applyProtection="1"/>
    <xf numFmtId="14" fontId="0" fillId="2" borderId="0" xfId="0" applyNumberFormat="1" applyFill="1" applyProtection="1"/>
    <xf numFmtId="165" fontId="0" fillId="2" borderId="0" xfId="1" applyFont="1" applyFill="1" applyProtection="1"/>
    <xf numFmtId="14" fontId="0" fillId="0" borderId="6" xfId="0" applyNumberFormat="1" applyBorder="1"/>
    <xf numFmtId="0" fontId="0" fillId="0" borderId="8" xfId="0" applyFill="1" applyBorder="1"/>
    <xf numFmtId="0" fontId="35" fillId="2" borderId="0" xfId="0" applyFont="1" applyFill="1" applyProtection="1"/>
    <xf numFmtId="0" fontId="36" fillId="5" borderId="0" xfId="0" applyFont="1" applyFill="1" applyProtection="1"/>
    <xf numFmtId="0" fontId="36" fillId="5" borderId="0" xfId="0" applyFont="1" applyFill="1" applyProtection="1">
      <protection locked="0"/>
    </xf>
    <xf numFmtId="0" fontId="35" fillId="5" borderId="0" xfId="0" applyFont="1" applyFill="1" applyProtection="1">
      <protection locked="0"/>
    </xf>
    <xf numFmtId="0" fontId="35" fillId="5" borderId="0" xfId="0" applyFont="1" applyFill="1" applyProtection="1"/>
    <xf numFmtId="0" fontId="3" fillId="2" borderId="0" xfId="0" applyFont="1" applyFill="1" applyAlignment="1" applyProtection="1">
      <alignment horizontal="left"/>
      <protection locked="0"/>
    </xf>
    <xf numFmtId="0" fontId="3" fillId="2" borderId="0" xfId="0" applyNumberFormat="1" applyFont="1" applyFill="1" applyProtection="1">
      <protection locked="0"/>
    </xf>
    <xf numFmtId="165" fontId="31" fillId="12" borderId="0" xfId="0" applyNumberFormat="1" applyFont="1" applyFill="1" applyProtection="1">
      <protection locked="0"/>
    </xf>
    <xf numFmtId="164" fontId="0" fillId="0" borderId="6" xfId="0" applyNumberFormat="1" applyBorder="1"/>
    <xf numFmtId="14" fontId="24" fillId="2" borderId="0" xfId="0" applyNumberFormat="1" applyFont="1" applyFill="1"/>
    <xf numFmtId="165" fontId="0" fillId="2" borderId="0" xfId="1" applyFont="1" applyFill="1" applyAlignment="1">
      <alignment horizontal="center"/>
    </xf>
    <xf numFmtId="0" fontId="4" fillId="11" borderId="0" xfId="0" applyFont="1" applyFill="1" applyBorder="1" applyAlignment="1">
      <alignment horizontal="center"/>
    </xf>
    <xf numFmtId="14" fontId="25" fillId="2" borderId="0" xfId="0" applyNumberFormat="1" applyFont="1" applyFill="1" applyAlignment="1">
      <alignment horizontal="center"/>
    </xf>
    <xf numFmtId="0" fontId="38" fillId="2" borderId="0" xfId="3" applyFont="1" applyFill="1" applyAlignment="1">
      <alignment horizontal="center"/>
    </xf>
  </cellXfs>
  <cellStyles count="4">
    <cellStyle name="Lien hypertexte" xfId="3" builtinId="8"/>
    <cellStyle name="Milliers" xfId="1" builtinId="3"/>
    <cellStyle name="Normal" xfId="0" builtinId="0"/>
    <cellStyle name="Pourcentage" xfId="2" builtinId="5"/>
  </cellStyles>
  <dxfs count="139">
    <dxf>
      <numFmt numFmtId="0" formatCode="General"/>
      <fill>
        <patternFill patternType="solid">
          <fgColor indexed="64"/>
          <bgColor theme="0"/>
        </patternFill>
      </fill>
      <protection locked="1" hidden="0"/>
    </dxf>
    <dxf>
      <numFmt numFmtId="0" formatCode="General"/>
      <fill>
        <patternFill patternType="solid">
          <fgColor indexed="64"/>
          <bgColor theme="0"/>
        </patternFill>
      </fill>
      <protection locked="1" hidden="0"/>
    </dxf>
    <dxf>
      <fill>
        <patternFill patternType="solid">
          <fgColor indexed="64"/>
          <bgColor theme="0"/>
        </patternFill>
      </fill>
      <protection locked="1" hidden="0"/>
    </dxf>
    <dxf>
      <fill>
        <patternFill patternType="solid">
          <fgColor indexed="64"/>
          <bgColor theme="0"/>
        </patternFill>
      </fill>
      <protection locked="1" hidden="0"/>
    </dxf>
    <dxf>
      <fill>
        <patternFill patternType="solid">
          <fgColor indexed="64"/>
          <bgColor theme="0"/>
        </patternFill>
      </fill>
      <protection locked="1" hidden="0"/>
    </dxf>
    <dxf>
      <numFmt numFmtId="168" formatCode="m/d/yyyy"/>
      <fill>
        <patternFill patternType="solid">
          <fgColor indexed="64"/>
          <bgColor theme="0"/>
        </patternFill>
      </fill>
      <protection locked="1" hidden="0"/>
    </dxf>
    <dxf>
      <fill>
        <patternFill patternType="solid">
          <fgColor indexed="64"/>
          <bgColor theme="0"/>
        </patternFill>
      </fill>
      <protection locked="1" hidden="0"/>
    </dxf>
    <dxf>
      <font>
        <strike val="0"/>
        <outline val="0"/>
        <shadow val="0"/>
        <u val="none"/>
        <vertAlign val="baseline"/>
        <sz val="11"/>
        <color theme="4"/>
        <name val="Calibri"/>
        <scheme val="minor"/>
      </font>
      <fill>
        <patternFill patternType="solid">
          <fgColor indexed="64"/>
          <bgColor theme="0"/>
        </patternFill>
      </fill>
      <protection locked="1" hidden="0"/>
    </dxf>
    <dxf>
      <protection locked="0"/>
    </dxf>
    <dxf>
      <protection locked="0"/>
    </dxf>
    <dxf>
      <protection locked="0"/>
    </dxf>
    <dxf>
      <protection locked="0"/>
    </dxf>
    <dxf>
      <protection locked="0"/>
    </dxf>
    <dxf>
      <protection locked="0"/>
    </dxf>
    <dxf>
      <font>
        <b val="0"/>
      </font>
    </dxf>
    <dxf>
      <font>
        <b val="0"/>
      </font>
    </dxf>
    <dxf>
      <font>
        <b val="0"/>
      </font>
    </dxf>
    <dxf>
      <font>
        <b val="0"/>
      </font>
    </dxf>
    <dxf>
      <font>
        <b val="0"/>
      </font>
    </dxf>
    <dxf>
      <font>
        <b val="0"/>
      </font>
    </dxf>
    <dxf>
      <font>
        <name val="Gill Sans MT"/>
        <scheme val="none"/>
      </font>
    </dxf>
    <dxf>
      <font>
        <name val="Gill Sans MT"/>
        <scheme val="none"/>
      </font>
    </dxf>
    <dxf>
      <font>
        <name val="Gill Sans MT"/>
        <scheme val="none"/>
      </font>
    </dxf>
    <dxf>
      <font>
        <name val="Gill Sans MT"/>
        <scheme val="none"/>
      </font>
    </dxf>
    <dxf>
      <font>
        <name val="Gill Sans MT"/>
        <scheme val="none"/>
      </font>
    </dxf>
    <dxf>
      <font>
        <name val="Gill Sans MT"/>
        <scheme val="none"/>
      </font>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fill>
        <patternFill patternType="solid">
          <bgColor theme="0"/>
        </patternFill>
      </fill>
    </dxf>
    <dxf>
      <font>
        <b/>
        <strike val="0"/>
        <outline val="0"/>
        <shadow val="0"/>
        <u val="none"/>
        <vertAlign val="baseline"/>
        <sz val="11"/>
        <name val="Calibri"/>
        <scheme val="minor"/>
      </font>
      <numFmt numFmtId="165" formatCode="_(* #,##0.00_);_(* \(#,##0.00\);_(* &quot;-&quot;??_);_(@_)"/>
      <fill>
        <patternFill patternType="solid">
          <fgColor indexed="64"/>
          <bgColor theme="0"/>
        </patternFill>
      </fill>
    </dxf>
    <dxf>
      <font>
        <strike val="0"/>
        <outline val="0"/>
        <shadow val="0"/>
        <u val="none"/>
        <vertAlign val="baseline"/>
        <sz val="11"/>
        <name val="Calibri"/>
        <scheme val="minor"/>
      </font>
      <fill>
        <patternFill patternType="solid">
          <fgColor indexed="64"/>
          <bgColor theme="0"/>
        </patternFill>
      </fill>
    </dxf>
    <dxf>
      <font>
        <strike val="0"/>
        <outline val="0"/>
        <shadow val="0"/>
        <u val="none"/>
        <vertAlign val="baseline"/>
        <sz val="11"/>
        <name val="Calibri"/>
        <scheme val="minor"/>
      </font>
      <fill>
        <patternFill patternType="solid">
          <fgColor indexed="64"/>
          <bgColor theme="0"/>
        </patternFill>
      </fill>
    </dxf>
    <dxf>
      <font>
        <b/>
        <i val="0"/>
        <strike val="0"/>
        <condense val="0"/>
        <extend val="0"/>
        <outline val="0"/>
        <shadow val="0"/>
        <u val="none"/>
        <vertAlign val="baseline"/>
        <sz val="11"/>
        <color theme="0"/>
        <name val="Calibri"/>
        <scheme val="minor"/>
      </font>
      <numFmt numFmtId="165" formatCode="_(* #,##0.00_);_(* \(#,##0.00\);_(* &quot;-&quot;??_);_(@_)"/>
      <fill>
        <patternFill patternType="solid">
          <fgColor indexed="64"/>
          <bgColor theme="3"/>
        </patternFill>
      </fill>
      <alignment horizontal="center" vertical="bottom" textRotation="0" wrapText="0" indent="0" justifyLastLine="0" shrinkToFit="0" readingOrder="0"/>
    </dxf>
    <dxf>
      <font>
        <b/>
      </font>
      <numFmt numFmtId="165" formatCode="_(* #,##0.00_);_(* \(#,##0.00\);_(* &quot;-&quot;??_);_(@_)"/>
    </dxf>
    <dxf>
      <font>
        <b/>
        <i val="0"/>
        <strike val="0"/>
        <condense val="0"/>
        <extend val="0"/>
        <outline val="0"/>
        <shadow val="0"/>
        <u val="none"/>
        <vertAlign val="baseline"/>
        <sz val="11"/>
        <color theme="0"/>
        <name val="Calibri"/>
        <scheme val="minor"/>
      </font>
      <fill>
        <patternFill patternType="solid">
          <fgColor indexed="64"/>
          <bgColor theme="3"/>
        </patternFill>
      </fill>
    </dxf>
    <dxf>
      <font>
        <b/>
        <strike val="0"/>
        <outline val="0"/>
        <shadow val="0"/>
        <u val="none"/>
        <vertAlign val="baseline"/>
        <sz val="11"/>
        <color theme="0"/>
        <name val="Calibri"/>
        <scheme val="minor"/>
      </font>
      <fill>
        <patternFill patternType="solid">
          <fgColor indexed="64"/>
          <bgColor theme="3"/>
        </patternFill>
      </fill>
    </dxf>
    <dxf>
      <fill>
        <patternFill patternType="solid">
          <fgColor indexed="64"/>
          <bgColor theme="0"/>
        </patternFill>
      </fill>
    </dxf>
    <dxf>
      <font>
        <strike val="0"/>
        <outline val="0"/>
        <shadow val="0"/>
        <u val="none"/>
        <vertAlign val="baseline"/>
        <sz val="11"/>
        <color theme="0"/>
        <name val="Calibri"/>
        <scheme val="minor"/>
      </font>
      <fill>
        <patternFill patternType="solid">
          <fgColor indexed="64"/>
          <bgColor theme="0"/>
        </patternFill>
      </fill>
    </dxf>
    <dxf>
      <font>
        <b/>
        <color theme="8"/>
      </font>
      <fill>
        <patternFill patternType="solid">
          <fgColor indexed="64"/>
          <bgColor theme="6" tint="0.79998168889431442"/>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ont>
        <b/>
        <strike val="0"/>
        <outline val="0"/>
        <shadow val="0"/>
        <u val="none"/>
        <vertAlign val="baseline"/>
        <sz val="10"/>
        <color theme="0"/>
        <name val="Bookman Old Style"/>
        <scheme val="none"/>
      </font>
      <fill>
        <patternFill patternType="solid">
          <fgColor indexed="64"/>
          <bgColor theme="4" tint="0.39997558519241921"/>
        </patternFill>
      </fill>
      <alignment horizontal="left" vertical="center" textRotation="0" wrapText="0" indent="1" justifyLastLine="0" shrinkToFit="0" readingOrder="0"/>
    </dxf>
    <dxf>
      <fill>
        <patternFill patternType="solid">
          <fgColor indexed="64"/>
          <bgColor theme="0"/>
        </patternFill>
      </fill>
    </dxf>
    <dxf>
      <fill>
        <patternFill patternType="solid">
          <fgColor indexed="64"/>
          <bgColor theme="0"/>
        </patternFill>
      </fill>
    </dxf>
    <dxf>
      <font>
        <b/>
        <color theme="8"/>
      </font>
      <fill>
        <patternFill patternType="solid">
          <fgColor indexed="64"/>
          <bgColor theme="6" tint="0.79998168889431442"/>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ill>
        <patternFill patternType="solid">
          <fgColor indexed="64"/>
          <bgColor theme="0"/>
        </patternFill>
      </fill>
    </dxf>
    <dxf>
      <font>
        <b/>
        <i val="0"/>
        <strike val="0"/>
        <condense val="0"/>
        <extend val="0"/>
        <outline val="0"/>
        <shadow val="0"/>
        <u val="none"/>
        <vertAlign val="baseline"/>
        <sz val="11"/>
        <color theme="8"/>
        <name val="Calibri"/>
        <scheme val="minor"/>
      </font>
      <numFmt numFmtId="165" formatCode="_(* #,##0.00_);_(* \(#,##0.00\);_(* &quot;-&quot;??_);_(@_)"/>
      <fill>
        <patternFill patternType="solid">
          <fgColor indexed="64"/>
          <bgColor theme="6" tint="0.79998168889431442"/>
        </patternFill>
      </fill>
      <protection locked="0" hidden="0"/>
    </dxf>
    <dxf>
      <font>
        <b/>
        <strike val="0"/>
        <outline val="0"/>
        <shadow val="0"/>
        <u val="none"/>
        <vertAlign val="baseline"/>
        <sz val="11"/>
        <color theme="8"/>
        <name val="Calibri"/>
        <scheme val="minor"/>
      </font>
      <numFmt numFmtId="165" formatCode="_(* #,##0.00_);_(* \(#,##0.00\);_(* &quot;-&quot;??_);_(@_)"/>
      <fill>
        <patternFill patternType="solid">
          <fgColor indexed="64"/>
          <bgColor theme="6" tint="0.79998168889431442"/>
        </patternFill>
      </fill>
    </dxf>
    <dxf>
      <fill>
        <patternFill patternType="solid">
          <fgColor indexed="64"/>
          <bgColor theme="0"/>
        </patternFill>
      </fill>
      <protection locked="0" hidden="0"/>
    </dxf>
    <dxf>
      <fill>
        <patternFill patternType="solid">
          <fgColor indexed="64"/>
          <bgColor theme="0"/>
        </patternFill>
      </fill>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65" formatCode="_(* #,##0.00_);_(* \(#,##0.00\);_(* &quot;-&quot;??_);_(@_)"/>
      <fill>
        <patternFill patternType="solid">
          <fgColor indexed="64"/>
          <bgColor theme="0"/>
        </patternFill>
      </fill>
      <protection locked="0" hidden="0"/>
    </dxf>
    <dxf>
      <fill>
        <patternFill patternType="solid">
          <fgColor indexed="64"/>
          <bgColor theme="0"/>
        </patternFill>
      </fill>
      <alignment horizontal="center" vertical="bottom" textRotation="0" wrapText="0" indent="0" justifyLastLine="0" shrinkToFit="0" readingOrder="0"/>
    </dxf>
    <dxf>
      <fill>
        <patternFill patternType="solid">
          <fgColor indexed="64"/>
          <bgColor theme="0"/>
        </patternFill>
      </fill>
      <protection locked="0" hidden="0"/>
    </dxf>
    <dxf>
      <font>
        <b/>
        <sz val="10"/>
        <color theme="0"/>
        <name val="Bookman Old Style"/>
        <scheme val="none"/>
      </font>
      <fill>
        <patternFill patternType="solid">
          <fgColor indexed="64"/>
          <bgColor theme="4" tint="0.39997558519241921"/>
        </patternFill>
      </fill>
      <alignment horizontal="left" vertical="center" textRotation="0" wrapText="0" indent="1" justifyLastLine="0" shrinkToFit="0" readingOrder="0"/>
    </dxf>
    <dxf>
      <protection locked="0" hidden="0"/>
    </dxf>
    <dxf>
      <fill>
        <patternFill patternType="solid">
          <fgColor indexed="64"/>
          <bgColor theme="0"/>
        </patternFill>
      </fill>
    </dxf>
    <dxf>
      <fill>
        <patternFill patternType="solid">
          <fgColor indexed="64"/>
          <bgColor theme="0"/>
        </patternFill>
      </fill>
    </dxf>
    <dxf>
      <font>
        <b/>
        <i val="0"/>
        <strike val="0"/>
        <condense val="0"/>
        <extend val="0"/>
        <outline val="0"/>
        <shadow val="0"/>
        <u val="none"/>
        <vertAlign val="baseline"/>
        <sz val="11"/>
        <color theme="8"/>
        <name val="Calibri"/>
        <scheme val="minor"/>
      </font>
      <fill>
        <patternFill patternType="solid">
          <fgColor indexed="64"/>
          <bgColor theme="6" tint="0.79998168889431442"/>
        </patternFill>
      </fill>
      <protection locked="0" hidden="0"/>
    </dxf>
    <dxf>
      <font>
        <b/>
        <color theme="8"/>
      </font>
      <numFmt numFmtId="165" formatCode="_(* #,##0.00_);_(* \(#,##0.00\);_(* &quot;-&quot;??_);_(@_)"/>
      <fill>
        <patternFill patternType="solid">
          <fgColor indexed="64"/>
          <bgColor theme="6" tint="0.79998168889431442"/>
        </patternFill>
      </fill>
    </dxf>
    <dxf>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fill>
        <patternFill patternType="solid">
          <fgColor indexed="64"/>
          <bgColor theme="0"/>
        </patternFill>
      </fill>
    </dxf>
    <dxf>
      <numFmt numFmtId="165" formatCode="_(* #,##0.00_);_(* \(#,##0.00\);_(* &quot;-&quot;??_);_(@_)"/>
      <fill>
        <patternFill patternType="solid">
          <fgColor indexed="64"/>
          <bgColor theme="0"/>
        </patternFill>
      </fill>
      <protection locked="0" hidden="0"/>
    </dxf>
    <dxf>
      <numFmt numFmtId="165" formatCode="_(* #,##0.00_);_(* \(#,##0.00\);_(* &quot;-&quot;??_);_(@_)"/>
      <fill>
        <patternFill patternType="solid">
          <fgColor indexed="64"/>
          <bgColor theme="0"/>
        </patternFill>
      </fill>
    </dxf>
    <dxf>
      <numFmt numFmtId="165" formatCode="_(* #,##0.00_);_(* \(#,##0.00\);_(* &quot;-&quot;??_);_(@_)"/>
      <fill>
        <patternFill patternType="solid">
          <fgColor indexed="64"/>
          <bgColor theme="0"/>
        </patternFill>
      </fill>
      <protection locked="0" hidden="0"/>
    </dxf>
    <dxf>
      <numFmt numFmtId="165" formatCode="_(* #,##0.00_);_(* \(#,##0.00\);_(* &quot;-&quot;??_);_(@_)"/>
      <fill>
        <patternFill patternType="solid">
          <fgColor indexed="64"/>
          <bgColor theme="0"/>
        </patternFill>
      </fill>
    </dxf>
    <dxf>
      <numFmt numFmtId="165" formatCode="_(* #,##0.00_);_(* \(#,##0.00\);_(* &quot;-&quot;??_);_(@_)"/>
      <fill>
        <patternFill patternType="solid">
          <fgColor indexed="64"/>
          <bgColor theme="0"/>
        </patternFill>
      </fill>
      <protection locked="0" hidden="0"/>
    </dxf>
    <dxf>
      <numFmt numFmtId="165" formatCode="_(* #,##0.00_);_(* \(#,##0.00\);_(* &quot;-&quot;??_);_(@_)"/>
      <fill>
        <patternFill patternType="solid">
          <fgColor indexed="64"/>
          <bgColor theme="0"/>
        </patternFill>
      </fill>
    </dxf>
    <dxf>
      <font>
        <b/>
        <i val="0"/>
        <strike val="0"/>
        <condense val="0"/>
        <extend val="0"/>
        <outline val="0"/>
        <shadow val="0"/>
        <u val="none"/>
        <vertAlign val="baseline"/>
        <sz val="10"/>
        <color theme="0"/>
        <name val="Bookman Old Style"/>
        <scheme val="none"/>
      </font>
      <fill>
        <patternFill patternType="solid">
          <fgColor indexed="64"/>
          <bgColor theme="4" tint="0.39997558519241921"/>
        </patternFill>
      </fill>
      <alignment horizontal="left" vertical="center" textRotation="0" wrapText="0" indent="1" justifyLastLine="0" shrinkToFit="0" readingOrder="0"/>
    </dxf>
    <dxf>
      <fill>
        <patternFill patternType="solid">
          <fgColor indexed="64"/>
          <bgColor theme="0"/>
        </patternFill>
      </fill>
    </dxf>
    <dxf>
      <font>
        <strike val="0"/>
        <outline val="0"/>
        <shadow val="0"/>
        <u val="none"/>
        <vertAlign val="baseline"/>
        <color theme="4" tint="-0.499984740745262"/>
      </font>
      <fill>
        <patternFill patternType="solid">
          <fgColor indexed="64"/>
          <bgColor theme="0"/>
        </patternFill>
      </fill>
    </dxf>
  </dxfs>
  <tableStyles count="0" defaultTableStyle="TableStyleMedium2" defaultPivotStyle="PivotStyleLight16"/>
  <colors>
    <mruColors>
      <color rgb="FF00CC99"/>
      <color rgb="FFFFCCCC"/>
      <color rgb="FFFF99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7/relationships/slicerCache" Target="slicerCaches/slicerCache1.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pivotCacheDefinition" Target="pivotCache/pivotCacheDefinition1.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tx>
            <c:strRef>
              <c:f>'TB MENSUEL'!$C$16</c:f>
              <c:strCache>
                <c:ptCount val="1"/>
                <c:pt idx="0">
                  <c:v>Colonne1</c:v>
                </c:pt>
              </c:strCache>
            </c:strRef>
          </c:tx>
          <c:dPt>
            <c:idx val="0"/>
            <c:bubble3D val="0"/>
            <c:spPr>
              <a:solidFill>
                <a:schemeClr val="accent6"/>
              </a:solidFill>
              <a:ln w="19050">
                <a:solidFill>
                  <a:schemeClr val="lt1"/>
                </a:solidFill>
              </a:ln>
              <a:effectLst/>
            </c:spPr>
            <c:extLst>
              <c:ext xmlns:c16="http://schemas.microsoft.com/office/drawing/2014/chart" uri="{C3380CC4-5D6E-409C-BE32-E72D297353CC}">
                <c16:uniqueId val="{00000001-2C49-4816-A3C7-06F3E14DB788}"/>
              </c:ext>
            </c:extLst>
          </c:dPt>
          <c:dPt>
            <c:idx val="1"/>
            <c:bubble3D val="0"/>
            <c:spPr>
              <a:solidFill>
                <a:schemeClr val="accent5"/>
              </a:solidFill>
              <a:ln w="19050">
                <a:solidFill>
                  <a:schemeClr val="lt1"/>
                </a:solidFill>
              </a:ln>
              <a:effectLst/>
            </c:spPr>
            <c:extLst>
              <c:ext xmlns:c16="http://schemas.microsoft.com/office/drawing/2014/chart" uri="{C3380CC4-5D6E-409C-BE32-E72D297353CC}">
                <c16:uniqueId val="{00000003-2C49-4816-A3C7-06F3E14DB788}"/>
              </c:ext>
            </c:extLst>
          </c:dPt>
          <c:dPt>
            <c:idx val="2"/>
            <c:bubble3D val="0"/>
            <c:spPr>
              <a:solidFill>
                <a:schemeClr val="accent4"/>
              </a:solidFill>
              <a:ln w="19050">
                <a:solidFill>
                  <a:schemeClr val="lt1"/>
                </a:solidFill>
              </a:ln>
              <a:effectLst/>
            </c:spPr>
            <c:extLst>
              <c:ext xmlns:c16="http://schemas.microsoft.com/office/drawing/2014/chart" uri="{C3380CC4-5D6E-409C-BE32-E72D297353CC}">
                <c16:uniqueId val="{00000005-2C49-4816-A3C7-06F3E14DB788}"/>
              </c:ext>
            </c:extLst>
          </c:dPt>
          <c:dPt>
            <c:idx val="3"/>
            <c:bubble3D val="0"/>
            <c:spPr>
              <a:solidFill>
                <a:schemeClr val="accent6">
                  <a:lumMod val="60000"/>
                </a:schemeClr>
              </a:solidFill>
              <a:ln w="19050">
                <a:solidFill>
                  <a:schemeClr val="lt1"/>
                </a:solidFill>
              </a:ln>
              <a:effectLst/>
            </c:spPr>
            <c:extLst>
              <c:ext xmlns:c16="http://schemas.microsoft.com/office/drawing/2014/chart" uri="{C3380CC4-5D6E-409C-BE32-E72D297353CC}">
                <c16:uniqueId val="{00000007-2C49-4816-A3C7-06F3E14DB788}"/>
              </c:ext>
            </c:extLst>
          </c:dPt>
          <c:dPt>
            <c:idx val="4"/>
            <c:bubble3D val="0"/>
            <c:spPr>
              <a:solidFill>
                <a:schemeClr val="accent5">
                  <a:lumMod val="60000"/>
                </a:schemeClr>
              </a:solidFill>
              <a:ln w="19050">
                <a:solidFill>
                  <a:schemeClr val="lt1"/>
                </a:solidFill>
              </a:ln>
              <a:effectLst/>
            </c:spPr>
            <c:extLst>
              <c:ext xmlns:c16="http://schemas.microsoft.com/office/drawing/2014/chart" uri="{C3380CC4-5D6E-409C-BE32-E72D297353CC}">
                <c16:uniqueId val="{00000009-2C49-4816-A3C7-06F3E14DB788}"/>
              </c:ext>
            </c:extLst>
          </c:dPt>
          <c:dPt>
            <c:idx val="5"/>
            <c:bubble3D val="0"/>
            <c:spPr>
              <a:solidFill>
                <a:schemeClr val="accent4">
                  <a:lumMod val="60000"/>
                </a:schemeClr>
              </a:solidFill>
              <a:ln w="19050">
                <a:solidFill>
                  <a:schemeClr val="lt1"/>
                </a:solidFill>
              </a:ln>
              <a:effectLst/>
            </c:spPr>
            <c:extLst>
              <c:ext xmlns:c16="http://schemas.microsoft.com/office/drawing/2014/chart" uri="{C3380CC4-5D6E-409C-BE32-E72D297353CC}">
                <c16:uniqueId val="{0000000B-2C49-4816-A3C7-06F3E14DB788}"/>
              </c:ext>
            </c:extLst>
          </c:dPt>
          <c:dPt>
            <c:idx val="6"/>
            <c:bubble3D val="0"/>
            <c:spPr>
              <a:solidFill>
                <a:schemeClr val="accent6">
                  <a:lumMod val="80000"/>
                  <a:lumOff val="20000"/>
                </a:schemeClr>
              </a:solidFill>
              <a:ln w="19050">
                <a:solidFill>
                  <a:schemeClr val="lt1"/>
                </a:solidFill>
              </a:ln>
              <a:effectLst/>
            </c:spPr>
            <c:extLst>
              <c:ext xmlns:c16="http://schemas.microsoft.com/office/drawing/2014/chart" uri="{C3380CC4-5D6E-409C-BE32-E72D297353CC}">
                <c16:uniqueId val="{0000000D-2C49-4816-A3C7-06F3E14DB788}"/>
              </c:ext>
            </c:extLst>
          </c:dPt>
          <c:dPt>
            <c:idx val="7"/>
            <c:bubble3D val="0"/>
            <c:spPr>
              <a:solidFill>
                <a:schemeClr val="accent5">
                  <a:lumMod val="80000"/>
                  <a:lumOff val="20000"/>
                </a:schemeClr>
              </a:solidFill>
              <a:ln w="19050">
                <a:solidFill>
                  <a:schemeClr val="lt1"/>
                </a:solidFill>
              </a:ln>
              <a:effectLst/>
            </c:spPr>
            <c:extLst>
              <c:ext xmlns:c16="http://schemas.microsoft.com/office/drawing/2014/chart" uri="{C3380CC4-5D6E-409C-BE32-E72D297353CC}">
                <c16:uniqueId val="{0000000F-2C49-4816-A3C7-06F3E14DB788}"/>
              </c:ext>
            </c:extLst>
          </c:dPt>
          <c:dPt>
            <c:idx val="8"/>
            <c:bubble3D val="0"/>
            <c:spPr>
              <a:solidFill>
                <a:schemeClr val="accent4">
                  <a:lumMod val="80000"/>
                  <a:lumOff val="20000"/>
                </a:schemeClr>
              </a:solidFill>
              <a:ln w="19050">
                <a:solidFill>
                  <a:schemeClr val="lt1"/>
                </a:solidFill>
              </a:ln>
              <a:effectLst/>
            </c:spPr>
            <c:extLst>
              <c:ext xmlns:c16="http://schemas.microsoft.com/office/drawing/2014/chart" uri="{C3380CC4-5D6E-409C-BE32-E72D297353CC}">
                <c16:uniqueId val="{00000011-2C49-4816-A3C7-06F3E14DB788}"/>
              </c:ext>
            </c:extLst>
          </c:dPt>
          <c:dPt>
            <c:idx val="9"/>
            <c:bubble3D val="0"/>
            <c:spPr>
              <a:solidFill>
                <a:schemeClr val="accent6">
                  <a:lumMod val="80000"/>
                </a:schemeClr>
              </a:solidFill>
              <a:ln w="19050">
                <a:solidFill>
                  <a:schemeClr val="lt1"/>
                </a:solidFill>
              </a:ln>
              <a:effectLst/>
            </c:spPr>
            <c:extLst>
              <c:ext xmlns:c16="http://schemas.microsoft.com/office/drawing/2014/chart" uri="{C3380CC4-5D6E-409C-BE32-E72D297353CC}">
                <c16:uniqueId val="{00000013-2C49-4816-A3C7-06F3E14DB788}"/>
              </c:ext>
            </c:extLst>
          </c:dPt>
          <c:dPt>
            <c:idx val="10"/>
            <c:bubble3D val="0"/>
            <c:spPr>
              <a:solidFill>
                <a:schemeClr val="accent5">
                  <a:lumMod val="80000"/>
                </a:schemeClr>
              </a:solidFill>
              <a:ln w="19050">
                <a:solidFill>
                  <a:schemeClr val="lt1"/>
                </a:solidFill>
              </a:ln>
              <a:effectLst/>
            </c:spPr>
            <c:extLst>
              <c:ext xmlns:c16="http://schemas.microsoft.com/office/drawing/2014/chart" uri="{C3380CC4-5D6E-409C-BE32-E72D297353CC}">
                <c16:uniqueId val="{00000015-2C49-4816-A3C7-06F3E14DB788}"/>
              </c:ext>
            </c:extLst>
          </c:dPt>
          <c:dPt>
            <c:idx val="11"/>
            <c:bubble3D val="0"/>
            <c:spPr>
              <a:solidFill>
                <a:schemeClr val="accent4">
                  <a:lumMod val="80000"/>
                </a:schemeClr>
              </a:solidFill>
              <a:ln w="19050">
                <a:solidFill>
                  <a:schemeClr val="lt1"/>
                </a:solidFill>
              </a:ln>
              <a:effectLst/>
            </c:spPr>
            <c:extLst>
              <c:ext xmlns:c16="http://schemas.microsoft.com/office/drawing/2014/chart" uri="{C3380CC4-5D6E-409C-BE32-E72D297353CC}">
                <c16:uniqueId val="{00000017-2C49-4816-A3C7-06F3E14DB788}"/>
              </c:ext>
            </c:extLst>
          </c:dPt>
          <c:dPt>
            <c:idx val="12"/>
            <c:bubble3D val="0"/>
            <c:spPr>
              <a:solidFill>
                <a:schemeClr val="accent6">
                  <a:lumMod val="60000"/>
                  <a:lumOff val="40000"/>
                </a:schemeClr>
              </a:solidFill>
              <a:ln w="19050">
                <a:solidFill>
                  <a:schemeClr val="lt1"/>
                </a:solidFill>
              </a:ln>
              <a:effectLst/>
            </c:spPr>
            <c:extLst>
              <c:ext xmlns:c16="http://schemas.microsoft.com/office/drawing/2014/chart" uri="{C3380CC4-5D6E-409C-BE32-E72D297353CC}">
                <c16:uniqueId val="{00000019-2C49-4816-A3C7-06F3E14DB788}"/>
              </c:ext>
            </c:extLst>
          </c:dPt>
          <c:dPt>
            <c:idx val="13"/>
            <c:bubble3D val="0"/>
            <c:spPr>
              <a:solidFill>
                <a:schemeClr val="accent5">
                  <a:lumMod val="60000"/>
                  <a:lumOff val="40000"/>
                </a:schemeClr>
              </a:solidFill>
              <a:ln w="19050">
                <a:solidFill>
                  <a:schemeClr val="lt1"/>
                </a:solidFill>
              </a:ln>
              <a:effectLst/>
            </c:spPr>
            <c:extLst>
              <c:ext xmlns:c16="http://schemas.microsoft.com/office/drawing/2014/chart" uri="{C3380CC4-5D6E-409C-BE32-E72D297353CC}">
                <c16:uniqueId val="{0000001B-2C49-4816-A3C7-06F3E14DB788}"/>
              </c:ext>
            </c:extLst>
          </c:dPt>
          <c:dPt>
            <c:idx val="14"/>
            <c:bubble3D val="0"/>
            <c:spPr>
              <a:solidFill>
                <a:schemeClr val="accent4">
                  <a:lumMod val="60000"/>
                  <a:lumOff val="40000"/>
                </a:schemeClr>
              </a:solidFill>
              <a:ln w="19050">
                <a:solidFill>
                  <a:schemeClr val="lt1"/>
                </a:solidFill>
              </a:ln>
              <a:effectLst/>
            </c:spPr>
            <c:extLst>
              <c:ext xmlns:c16="http://schemas.microsoft.com/office/drawing/2014/chart" uri="{C3380CC4-5D6E-409C-BE32-E72D297353CC}">
                <c16:uniqueId val="{0000001D-2C49-4816-A3C7-06F3E14DB788}"/>
              </c:ext>
            </c:extLst>
          </c:dPt>
          <c:dPt>
            <c:idx val="15"/>
            <c:bubble3D val="0"/>
            <c:spPr>
              <a:solidFill>
                <a:schemeClr val="accent6">
                  <a:lumMod val="50000"/>
                </a:schemeClr>
              </a:solidFill>
              <a:ln w="19050">
                <a:solidFill>
                  <a:schemeClr val="lt1"/>
                </a:solidFill>
              </a:ln>
              <a:effectLst/>
            </c:spPr>
            <c:extLst>
              <c:ext xmlns:c16="http://schemas.microsoft.com/office/drawing/2014/chart" uri="{C3380CC4-5D6E-409C-BE32-E72D297353CC}">
                <c16:uniqueId val="{0000001F-2C49-4816-A3C7-06F3E14DB788}"/>
              </c:ext>
            </c:extLst>
          </c:dPt>
          <c:dPt>
            <c:idx val="16"/>
            <c:bubble3D val="0"/>
            <c:spPr>
              <a:solidFill>
                <a:schemeClr val="accent5">
                  <a:lumMod val="50000"/>
                </a:schemeClr>
              </a:solidFill>
              <a:ln w="19050">
                <a:solidFill>
                  <a:schemeClr val="lt1"/>
                </a:solidFill>
              </a:ln>
              <a:effectLst/>
            </c:spPr>
            <c:extLst>
              <c:ext xmlns:c16="http://schemas.microsoft.com/office/drawing/2014/chart" uri="{C3380CC4-5D6E-409C-BE32-E72D297353CC}">
                <c16:uniqueId val="{00000021-2C49-4816-A3C7-06F3E14DB788}"/>
              </c:ext>
            </c:extLst>
          </c:dPt>
          <c:dPt>
            <c:idx val="17"/>
            <c:bubble3D val="0"/>
            <c:spPr>
              <a:solidFill>
                <a:schemeClr val="accent4">
                  <a:lumMod val="50000"/>
                </a:schemeClr>
              </a:solidFill>
              <a:ln w="19050">
                <a:solidFill>
                  <a:schemeClr val="lt1"/>
                </a:solidFill>
              </a:ln>
              <a:effectLst/>
            </c:spPr>
            <c:extLst>
              <c:ext xmlns:c16="http://schemas.microsoft.com/office/drawing/2014/chart" uri="{C3380CC4-5D6E-409C-BE32-E72D297353CC}">
                <c16:uniqueId val="{00000023-2C49-4816-A3C7-06F3E14DB788}"/>
              </c:ext>
            </c:extLst>
          </c:dPt>
          <c:dLbls>
            <c:spPr>
              <a:noFill/>
              <a:ln>
                <a:noFill/>
              </a:ln>
              <a:effectLst/>
            </c:spPr>
            <c:txPr>
              <a:bodyPr rot="0" spcFirstLastPara="1" vertOverflow="ellipsis" vert="horz" wrap="square" anchor="ctr" anchorCtr="1"/>
              <a:lstStyle/>
              <a:p>
                <a:pPr>
                  <a:defRPr sz="1050" b="0" i="0" u="none" strike="noStrike" kern="1200" baseline="0">
                    <a:solidFill>
                      <a:schemeClr val="tx1"/>
                    </a:solidFill>
                    <a:latin typeface="+mn-lt"/>
                    <a:ea typeface="+mn-ea"/>
                    <a:cs typeface="+mn-cs"/>
                  </a:defRPr>
                </a:pPr>
                <a:endParaRPr lang="fr-FR"/>
              </a:p>
            </c:txPr>
            <c:showLegendKey val="0"/>
            <c:showVal val="0"/>
            <c:showCatName val="1"/>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'TB MENSUEL'!$B$17:$B$34</c:f>
              <c:strCache>
                <c:ptCount val="18"/>
                <c:pt idx="0">
                  <c:v>Foyer</c:v>
                </c:pt>
                <c:pt idx="1">
                  <c:v>Repas</c:v>
                </c:pt>
                <c:pt idx="2">
                  <c:v>Transport</c:v>
                </c:pt>
                <c:pt idx="3">
                  <c:v>Voyage</c:v>
                </c:pt>
                <c:pt idx="4">
                  <c:v>Self_Care</c:v>
                </c:pt>
                <c:pt idx="5">
                  <c:v>Loisirs</c:v>
                </c:pt>
                <c:pt idx="6">
                  <c:v>Animaux</c:v>
                </c:pt>
                <c:pt idx="7">
                  <c:v>Cadeaux</c:v>
                </c:pt>
                <c:pt idx="8">
                  <c:v>Charité</c:v>
                </c:pt>
                <c:pt idx="9">
                  <c:v>Sport</c:v>
                </c:pt>
                <c:pt idx="10">
                  <c:v>Education </c:v>
                </c:pt>
                <c:pt idx="11">
                  <c:v>Crédit</c:v>
                </c:pt>
                <c:pt idx="12">
                  <c:v>SANTÉ</c:v>
                </c:pt>
                <c:pt idx="13">
                  <c:v>Enfants</c:v>
                </c:pt>
                <c:pt idx="14">
                  <c:v>Impôts</c:v>
                </c:pt>
                <c:pt idx="15">
                  <c:v>Assurances</c:v>
                </c:pt>
                <c:pt idx="16">
                  <c:v>Prêts</c:v>
                </c:pt>
                <c:pt idx="17">
                  <c:v>Autres</c:v>
                </c:pt>
              </c:strCache>
            </c:strRef>
          </c:cat>
          <c:val>
            <c:numRef>
              <c:f>'TB MENSUEL'!$C$17:$C$34</c:f>
              <c:numCache>
                <c:formatCode>_(* #.##0\.00_);_(* \(#.##0\.00\);_(* "-"??_);_(@_)</c:formatCode>
                <c:ptCount val="18"/>
                <c:pt idx="0">
                  <c:v>2300</c:v>
                </c:pt>
                <c:pt idx="1">
                  <c:v>250</c:v>
                </c:pt>
                <c:pt idx="2">
                  <c:v>700</c:v>
                </c:pt>
                <c:pt idx="3">
                  <c:v>300</c:v>
                </c:pt>
                <c:pt idx="4">
                  <c:v>500</c:v>
                </c:pt>
                <c:pt idx="5">
                  <c:v>0</c:v>
                </c:pt>
                <c:pt idx="6">
                  <c:v>0</c:v>
                </c:pt>
                <c:pt idx="7">
                  <c:v>1450</c:v>
                </c:pt>
                <c:pt idx="8">
                  <c:v>200</c:v>
                </c:pt>
                <c:pt idx="9">
                  <c:v>0</c:v>
                </c:pt>
                <c:pt idx="10">
                  <c:v>0</c:v>
                </c:pt>
                <c:pt idx="11">
                  <c:v>0</c:v>
                </c:pt>
                <c:pt idx="12">
                  <c:v>0</c:v>
                </c:pt>
                <c:pt idx="13">
                  <c:v>0</c:v>
                </c:pt>
                <c:pt idx="14">
                  <c:v>0</c:v>
                </c:pt>
                <c:pt idx="15">
                  <c:v>0</c:v>
                </c:pt>
                <c:pt idx="16">
                  <c:v>0</c:v>
                </c:pt>
                <c:pt idx="17">
                  <c:v>0</c:v>
                </c:pt>
              </c:numCache>
            </c:numRef>
          </c:val>
          <c:extLst>
            <c:ext xmlns:c16="http://schemas.microsoft.com/office/drawing/2014/chart" uri="{C3380CC4-5D6E-409C-BE32-E72D297353CC}">
              <c16:uniqueId val="{00000024-2C49-4816-A3C7-06F3E14DB788}"/>
            </c:ext>
          </c:extLst>
        </c:ser>
        <c:dLbls>
          <c:showLegendKey val="0"/>
          <c:showVal val="0"/>
          <c:showCatName val="1"/>
          <c:showSerName val="0"/>
          <c:showPercent val="1"/>
          <c:showBubbleSize val="0"/>
          <c:showLeaderLines val="1"/>
        </c:dLbls>
        <c:firstSliceAng val="0"/>
      </c:pieChart>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sz="1050"/>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bar"/>
        <c:grouping val="stacked"/>
        <c:varyColors val="0"/>
        <c:ser>
          <c:idx val="0"/>
          <c:order val="0"/>
          <c:spPr>
            <a:solidFill>
              <a:schemeClr val="accent1"/>
            </a:solidFill>
            <a:ln>
              <a:noFill/>
            </a:ln>
            <a:effectLst/>
          </c:spPr>
          <c:invertIfNegative val="0"/>
          <c:dLbls>
            <c:spPr>
              <a:noFill/>
              <a:ln>
                <a:noFill/>
              </a:ln>
              <a:effectLst/>
            </c:spPr>
            <c:txPr>
              <a:bodyPr rot="0" spcFirstLastPara="1" vertOverflow="ellipsis" vert="horz" wrap="square" anchor="ctr" anchorCtr="1"/>
              <a:lstStyle/>
              <a:p>
                <a:pPr>
                  <a:defRPr sz="11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'NO TOUCH 2'!$A$3:$A$5</c:f>
              <c:strCache>
                <c:ptCount val="3"/>
                <c:pt idx="0">
                  <c:v>Dépenses</c:v>
                </c:pt>
                <c:pt idx="1">
                  <c:v>Epargne</c:v>
                </c:pt>
                <c:pt idx="2">
                  <c:v>Flux de trésrorie</c:v>
                </c:pt>
              </c:strCache>
            </c:strRef>
          </c:cat>
          <c:val>
            <c:numRef>
              <c:f>'NO TOUCH 2'!$B$3:$B$5</c:f>
              <c:numCache>
                <c:formatCode>General</c:formatCode>
                <c:ptCount val="3"/>
                <c:pt idx="0" formatCode="_(* #\ ##0.00_);_(* \(#\ ##0.00\);_(* &quot;-&quot;??_);_(@_)">
                  <c:v>5700</c:v>
                </c:pt>
                <c:pt idx="1">
                  <c:v>2000</c:v>
                </c:pt>
                <c:pt idx="2" formatCode="_(* #\ ##0.00_);_(* \(#\ ##0.00\);_(* &quot;-&quot;??_);_(@_)">
                  <c:v>300</c:v>
                </c:pt>
              </c:numCache>
            </c:numRef>
          </c:val>
          <c:extLst>
            <c:ext xmlns:c16="http://schemas.microsoft.com/office/drawing/2014/chart" uri="{C3380CC4-5D6E-409C-BE32-E72D297353CC}">
              <c16:uniqueId val="{00000000-3EC6-40E7-B5AF-37F61995C969}"/>
            </c:ext>
          </c:extLst>
        </c:ser>
        <c:dLbls>
          <c:showLegendKey val="0"/>
          <c:showVal val="1"/>
          <c:showCatName val="0"/>
          <c:showSerName val="0"/>
          <c:showPercent val="0"/>
          <c:showBubbleSize val="0"/>
        </c:dLbls>
        <c:gapWidth val="150"/>
        <c:overlap val="100"/>
        <c:axId val="203921408"/>
        <c:axId val="203819264"/>
      </c:barChart>
      <c:catAx>
        <c:axId val="203921408"/>
        <c:scaling>
          <c:orientation val="minMax"/>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0" i="0" u="none" strike="noStrike" kern="1200" cap="none" spc="0" normalizeH="0" baseline="0">
                <a:solidFill>
                  <a:schemeClr val="tx1">
                    <a:lumMod val="65000"/>
                    <a:lumOff val="35000"/>
                  </a:schemeClr>
                </a:solidFill>
                <a:latin typeface="+mn-lt"/>
                <a:ea typeface="+mn-ea"/>
                <a:cs typeface="+mn-cs"/>
              </a:defRPr>
            </a:pPr>
            <a:endParaRPr lang="fr-FR"/>
          </a:p>
        </c:txPr>
        <c:crossAx val="203819264"/>
        <c:crosses val="autoZero"/>
        <c:auto val="1"/>
        <c:lblAlgn val="ctr"/>
        <c:lblOffset val="100"/>
        <c:noMultiLvlLbl val="0"/>
      </c:catAx>
      <c:valAx>
        <c:axId val="203819264"/>
        <c:scaling>
          <c:orientation val="minMax"/>
        </c:scaling>
        <c:delete val="0"/>
        <c:axPos val="b"/>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_(* #\ ##0.00_);_(* \(#\ ##0.00\);_(* &quot;-&quot;??_);_(@_)" sourceLinked="1"/>
        <c:majorTickMark val="none"/>
        <c:minorTickMark val="none"/>
        <c:tickLblPos val="nextTo"/>
        <c:spPr>
          <a:noFill/>
          <a:ln>
            <a:noFill/>
          </a:ln>
          <a:effectLst/>
        </c:spPr>
        <c:txPr>
          <a:bodyPr rot="-60000000" spcFirstLastPara="1" vertOverflow="ellipsis" vert="horz" wrap="square" anchor="ctr" anchorCtr="1"/>
          <a:lstStyle/>
          <a:p>
            <a:pPr>
              <a:defRPr sz="1100" b="0" i="0" u="none" strike="noStrike" kern="1200" baseline="0">
                <a:solidFill>
                  <a:schemeClr val="tx1">
                    <a:lumMod val="65000"/>
                    <a:lumOff val="35000"/>
                  </a:schemeClr>
                </a:solidFill>
                <a:latin typeface="+mn-lt"/>
                <a:ea typeface="+mn-ea"/>
                <a:cs typeface="+mn-cs"/>
              </a:defRPr>
            </a:pPr>
            <a:endParaRPr lang="fr-FR"/>
          </a:p>
        </c:txPr>
        <c:crossAx val="203921408"/>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sz="1100"/>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lgn="ctr" rtl="0">
              <a:defRPr lang="fr-FR" sz="1200" b="1" i="0" u="none" strike="noStrike" kern="1200" cap="none" spc="20" baseline="0">
                <a:solidFill>
                  <a:sysClr val="windowText" lastClr="000000">
                    <a:lumMod val="65000"/>
                    <a:lumOff val="35000"/>
                  </a:sysClr>
                </a:solidFill>
                <a:latin typeface="+mn-lt"/>
                <a:ea typeface="+mn-ea"/>
                <a:cs typeface="+mn-cs"/>
              </a:defRPr>
            </a:pPr>
            <a:r>
              <a:rPr lang="fr-FR" sz="1200" b="1" i="0" u="none" strike="noStrike" kern="1200" baseline="0">
                <a:solidFill>
                  <a:sysClr val="windowText" lastClr="000000">
                    <a:lumMod val="65000"/>
                    <a:lumOff val="35000"/>
                  </a:sysClr>
                </a:solidFill>
                <a:latin typeface="+mn-lt"/>
                <a:ea typeface="+mn-ea"/>
                <a:cs typeface="+mn-cs"/>
              </a:rPr>
              <a:t>TENDANCE DES FLUX </a:t>
            </a:r>
          </a:p>
        </c:rich>
      </c:tx>
      <c:layout>
        <c:manualLayout>
          <c:xMode val="edge"/>
          <c:yMode val="edge"/>
          <c:x val="1.1999903681764523E-2"/>
          <c:y val="2.5806451612903226E-2"/>
        </c:manualLayout>
      </c:layout>
      <c:overlay val="0"/>
      <c:spPr>
        <a:noFill/>
        <a:ln>
          <a:noFill/>
        </a:ln>
        <a:effectLst/>
      </c:spPr>
      <c:txPr>
        <a:bodyPr rot="0" spcFirstLastPara="1" vertOverflow="ellipsis" vert="horz" wrap="square" anchor="ctr" anchorCtr="1"/>
        <a:lstStyle/>
        <a:p>
          <a:pPr algn="ctr" rtl="0">
            <a:defRPr lang="fr-FR" sz="1200" b="1" i="0" u="none" strike="noStrike" kern="1200" cap="none" spc="20" baseline="0">
              <a:solidFill>
                <a:sysClr val="windowText" lastClr="000000">
                  <a:lumMod val="65000"/>
                  <a:lumOff val="35000"/>
                </a:sysClr>
              </a:solidFill>
              <a:latin typeface="+mn-lt"/>
              <a:ea typeface="+mn-ea"/>
              <a:cs typeface="+mn-cs"/>
            </a:defRPr>
          </a:pPr>
          <a:endParaRPr lang="fr-FR"/>
        </a:p>
      </c:txPr>
    </c:title>
    <c:autoTitleDeleted val="0"/>
    <c:plotArea>
      <c:layout>
        <c:manualLayout>
          <c:layoutTarget val="inner"/>
          <c:xMode val="edge"/>
          <c:yMode val="edge"/>
          <c:x val="5.5117108243819803E-2"/>
          <c:y val="0.15763440860215053"/>
          <c:w val="0.92908510541166234"/>
          <c:h val="0.65280264160528323"/>
        </c:manualLayout>
      </c:layout>
      <c:lineChart>
        <c:grouping val="standard"/>
        <c:varyColors val="0"/>
        <c:ser>
          <c:idx val="0"/>
          <c:order val="0"/>
          <c:tx>
            <c:strRef>
              <c:f>'NO TOUCH'!$A$4</c:f>
              <c:strCache>
                <c:ptCount val="1"/>
                <c:pt idx="0">
                  <c:v>Argent Liquide de Trésrorie</c:v>
                </c:pt>
              </c:strCache>
            </c:strRef>
          </c:tx>
          <c:spPr>
            <a:ln w="22225" cap="rnd" cmpd="sng" algn="ctr">
              <a:solidFill>
                <a:schemeClr val="accent1"/>
              </a:solidFill>
              <a:round/>
            </a:ln>
            <a:effectLst/>
          </c:spPr>
          <c:marker>
            <c:symbol val="none"/>
          </c:marker>
          <c:cat>
            <c:strRef>
              <c:f>'NO TOUCH'!$B$3:$M$3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'NO TOUCH'!$B$4:$M$4</c:f>
              <c:numCache>
                <c:formatCode>General</c:formatCode>
                <c:ptCount val="12"/>
                <c:pt idx="0">
                  <c:v>300</c:v>
                </c:pt>
                <c:pt idx="1">
                  <c:v>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0-39A7-4642-B6B2-B24FDA393960}"/>
            </c:ext>
          </c:extLst>
        </c:ser>
        <c:ser>
          <c:idx val="1"/>
          <c:order val="1"/>
          <c:tx>
            <c:strRef>
              <c:f>'NO TOUCH'!$A$5</c:f>
              <c:strCache>
                <c:ptCount val="1"/>
                <c:pt idx="0">
                  <c:v>Epargne</c:v>
                </c:pt>
              </c:strCache>
            </c:strRef>
          </c:tx>
          <c:spPr>
            <a:ln w="22225" cap="rnd" cmpd="sng" algn="ctr">
              <a:solidFill>
                <a:schemeClr val="accent2"/>
              </a:solidFill>
              <a:round/>
            </a:ln>
            <a:effectLst/>
          </c:spPr>
          <c:marker>
            <c:symbol val="none"/>
          </c:marker>
          <c:cat>
            <c:strRef>
              <c:f>'NO TOUCH'!$B$3:$M$3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'NO TOUCH'!$B$5:$M$5</c:f>
              <c:numCache>
                <c:formatCode>General</c:formatCode>
                <c:ptCount val="12"/>
                <c:pt idx="0">
                  <c:v>2000</c:v>
                </c:pt>
                <c:pt idx="1">
                  <c:v>2000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1-39A7-4642-B6B2-B24FDA393960}"/>
            </c:ext>
          </c:extLst>
        </c:ser>
        <c:ser>
          <c:idx val="2"/>
          <c:order val="2"/>
          <c:tx>
            <c:strRef>
              <c:f>'NO TOUCH'!$A$6</c:f>
              <c:strCache>
                <c:ptCount val="1"/>
                <c:pt idx="0">
                  <c:v>Revenus</c:v>
                </c:pt>
              </c:strCache>
            </c:strRef>
          </c:tx>
          <c:spPr>
            <a:ln w="22225" cap="rnd" cmpd="sng" algn="ctr">
              <a:solidFill>
                <a:schemeClr val="accent3"/>
              </a:solidFill>
              <a:round/>
            </a:ln>
            <a:effectLst/>
          </c:spPr>
          <c:marker>
            <c:symbol val="none"/>
          </c:marker>
          <c:cat>
            <c:strRef>
              <c:f>'NO TOUCH'!$B$3:$M$3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'NO TOUCH'!$B$6:$M$6</c:f>
              <c:numCache>
                <c:formatCode>General</c:formatCode>
                <c:ptCount val="12"/>
                <c:pt idx="0">
                  <c:v>8000</c:v>
                </c:pt>
                <c:pt idx="1">
                  <c:v>8300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2-39A7-4642-B6B2-B24FDA393960}"/>
            </c:ext>
          </c:extLst>
        </c:ser>
        <c:ser>
          <c:idx val="3"/>
          <c:order val="3"/>
          <c:tx>
            <c:strRef>
              <c:f>'NO TOUCH'!$A$7</c:f>
              <c:strCache>
                <c:ptCount val="1"/>
                <c:pt idx="0">
                  <c:v>Dépenses</c:v>
                </c:pt>
              </c:strCache>
            </c:strRef>
          </c:tx>
          <c:spPr>
            <a:ln w="22225" cap="rnd" cmpd="sng" algn="ctr">
              <a:solidFill>
                <a:schemeClr val="accent4"/>
              </a:solidFill>
              <a:round/>
            </a:ln>
            <a:effectLst/>
          </c:spPr>
          <c:marker>
            <c:symbol val="none"/>
          </c:marker>
          <c:cat>
            <c:strRef>
              <c:f>'NO TOUCH'!$B$3:$M$3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'NO TOUCH'!$B$7:$M$7</c:f>
              <c:numCache>
                <c:formatCode>General</c:formatCode>
                <c:ptCount val="12"/>
                <c:pt idx="0">
                  <c:v>5700</c:v>
                </c:pt>
                <c:pt idx="1">
                  <c:v>6300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3-39A7-4642-B6B2-B24FDA393960}"/>
            </c:ext>
          </c:extLst>
        </c:ser>
        <c:dLbls>
          <c:showLegendKey val="0"/>
          <c:showVal val="0"/>
          <c:showCatName val="0"/>
          <c:showSerName val="0"/>
          <c:showPercent val="0"/>
          <c:showBubbleSize val="0"/>
        </c:dLbls>
        <c:dropLines>
          <c:spPr>
            <a:ln w="9525" cap="flat" cmpd="sng" algn="ctr">
              <a:solidFill>
                <a:schemeClr val="dk1">
                  <a:lumMod val="35000"/>
                  <a:lumOff val="65000"/>
                  <a:alpha val="33000"/>
                </a:schemeClr>
              </a:solidFill>
              <a:round/>
            </a:ln>
            <a:effectLst/>
          </c:spPr>
        </c:dropLines>
        <c:smooth val="0"/>
        <c:axId val="205658112"/>
        <c:axId val="203820992"/>
      </c:lineChart>
      <c:catAx>
        <c:axId val="205658112"/>
        <c:scaling>
          <c:orientation val="minMax"/>
        </c:scaling>
        <c:delete val="0"/>
        <c:axPos val="b"/>
        <c:numFmt formatCode="General" sourceLinked="1"/>
        <c:majorTickMark val="none"/>
        <c:minorTickMark val="none"/>
        <c:tickLblPos val="nextTo"/>
        <c:spPr>
          <a:noFill/>
          <a:ln w="9525" cap="flat" cmpd="sng" algn="ctr">
            <a:solidFill>
              <a:schemeClr val="dk1">
                <a:lumMod val="15000"/>
                <a:lumOff val="85000"/>
              </a:schemeClr>
            </a:solidFill>
            <a:round/>
          </a:ln>
          <a:effectLst/>
        </c:spPr>
        <c:txPr>
          <a:bodyPr rot="-60000000" spcFirstLastPara="1" vertOverflow="ellipsis" vert="horz" wrap="square" anchor="ctr" anchorCtr="1"/>
          <a:lstStyle/>
          <a:p>
            <a:pPr>
              <a:defRPr sz="900" b="0" i="0" u="none" strike="noStrike" kern="1200" spc="20" baseline="0">
                <a:solidFill>
                  <a:schemeClr val="dk1">
                    <a:lumMod val="65000"/>
                    <a:lumOff val="35000"/>
                  </a:schemeClr>
                </a:solidFill>
                <a:latin typeface="+mn-lt"/>
                <a:ea typeface="+mn-ea"/>
                <a:cs typeface="+mn-cs"/>
              </a:defRPr>
            </a:pPr>
            <a:endParaRPr lang="fr-FR"/>
          </a:p>
        </c:txPr>
        <c:crossAx val="203820992"/>
        <c:crosses val="autoZero"/>
        <c:auto val="1"/>
        <c:lblAlgn val="ctr"/>
        <c:lblOffset val="100"/>
        <c:noMultiLvlLbl val="0"/>
      </c:catAx>
      <c:valAx>
        <c:axId val="203820992"/>
        <c:scaling>
          <c:orientation val="minMax"/>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spc="20" baseline="0">
                <a:solidFill>
                  <a:schemeClr val="dk1">
                    <a:lumMod val="65000"/>
                    <a:lumOff val="35000"/>
                  </a:schemeClr>
                </a:solidFill>
                <a:latin typeface="+mn-lt"/>
                <a:ea typeface="+mn-ea"/>
                <a:cs typeface="+mn-cs"/>
              </a:defRPr>
            </a:pPr>
            <a:endParaRPr lang="fr-FR"/>
          </a:p>
        </c:txPr>
        <c:crossAx val="205658112"/>
        <c:crosses val="autoZero"/>
        <c:crossBetween val="between"/>
      </c:valAx>
      <c:spPr>
        <a:gradFill>
          <a:gsLst>
            <a:gs pos="100000">
              <a:schemeClr val="lt1">
                <a:lumMod val="95000"/>
              </a:schemeClr>
            </a:gs>
            <a:gs pos="0">
              <a:schemeClr val="lt1"/>
            </a:gs>
          </a:gsLst>
          <a:lin ang="5400000" scaled="0"/>
        </a:grad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dk1">
                  <a:lumMod val="65000"/>
                  <a:lumOff val="35000"/>
                </a:schemeClr>
              </a:solidFill>
              <a:latin typeface="+mn-lt"/>
              <a:ea typeface="+mn-ea"/>
              <a:cs typeface="+mn-cs"/>
            </a:defRPr>
          </a:pPr>
          <a:endParaRPr lang="fr-FR"/>
        </a:p>
      </c:txPr>
    </c:legend>
    <c:plotVisOnly val="1"/>
    <c:dispBlanksAs val="gap"/>
    <c:showDLblsOverMax val="0"/>
  </c:chart>
  <c:spPr>
    <a:solidFill>
      <a:schemeClr val="lt1"/>
    </a:solidFill>
    <a:ln w="9525" cap="flat" cmpd="sng" algn="ctr">
      <a:solidFill>
        <a:schemeClr val="dk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lgn="ctr" rtl="0">
              <a:defRPr lang="fr-FR" sz="1400" b="1" i="0" u="none" strike="noStrike" kern="1200" cap="none" spc="20" baseline="0">
                <a:solidFill>
                  <a:sysClr val="windowText" lastClr="000000">
                    <a:lumMod val="65000"/>
                    <a:lumOff val="35000"/>
                  </a:sysClr>
                </a:solidFill>
                <a:latin typeface="+mn-lt"/>
                <a:ea typeface="+mn-ea"/>
                <a:cs typeface="+mn-cs"/>
              </a:defRPr>
            </a:pPr>
            <a:r>
              <a:rPr lang="fr-FR" sz="1400" b="1" i="0" u="none" strike="noStrike" kern="1200" cap="none" spc="20" baseline="0">
                <a:solidFill>
                  <a:sysClr val="windowText" lastClr="000000">
                    <a:lumMod val="65000"/>
                    <a:lumOff val="35000"/>
                  </a:sysClr>
                </a:solidFill>
                <a:latin typeface="+mn-lt"/>
                <a:ea typeface="+mn-ea"/>
                <a:cs typeface="+mn-cs"/>
              </a:rPr>
              <a:t>Répartition des dépenses </a:t>
            </a:r>
          </a:p>
        </c:rich>
      </c:tx>
      <c:layout>
        <c:manualLayout>
          <c:xMode val="edge"/>
          <c:yMode val="edge"/>
          <c:x val="8.4748826367416694E-3"/>
          <c:y val="2.1505361777758511E-2"/>
        </c:manualLayout>
      </c:layout>
      <c:overlay val="0"/>
      <c:spPr>
        <a:noFill/>
        <a:ln>
          <a:noFill/>
        </a:ln>
        <a:effectLst/>
      </c:spPr>
      <c:txPr>
        <a:bodyPr rot="0" spcFirstLastPara="1" vertOverflow="ellipsis" vert="horz" wrap="square" anchor="ctr" anchorCtr="1"/>
        <a:lstStyle/>
        <a:p>
          <a:pPr algn="ctr" rtl="0">
            <a:defRPr lang="fr-FR" sz="1400" b="1" i="0" u="none" strike="noStrike" kern="1200" cap="none" spc="20" baseline="0">
              <a:solidFill>
                <a:sysClr val="windowText" lastClr="000000">
                  <a:lumMod val="65000"/>
                  <a:lumOff val="35000"/>
                </a:sysClr>
              </a:solidFill>
              <a:latin typeface="+mn-lt"/>
              <a:ea typeface="+mn-ea"/>
              <a:cs typeface="+mn-cs"/>
            </a:defRPr>
          </a:pPr>
          <a:endParaRPr lang="fr-FR"/>
        </a:p>
      </c:txPr>
    </c:title>
    <c:autoTitleDeleted val="0"/>
    <c:plotArea>
      <c:layout/>
      <c:pieChart>
        <c:varyColors val="1"/>
        <c:ser>
          <c:idx val="0"/>
          <c:order val="0"/>
          <c:dPt>
            <c:idx val="0"/>
            <c:bubble3D val="0"/>
            <c:spPr>
              <a:solidFill>
                <a:schemeClr val="accent1"/>
              </a:solidFill>
              <a:ln w="19050">
                <a:solidFill>
                  <a:schemeClr val="lt1"/>
                </a:solidFill>
              </a:ln>
              <a:effectLst/>
            </c:spPr>
            <c:extLst>
              <c:ext xmlns:c16="http://schemas.microsoft.com/office/drawing/2014/chart" uri="{C3380CC4-5D6E-409C-BE32-E72D297353CC}">
                <c16:uniqueId val="{00000001-8D3F-4614-9001-E050ECBB8944}"/>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8D3F-4614-9001-E050ECBB8944}"/>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8D3F-4614-9001-E050ECBB8944}"/>
              </c:ext>
            </c:extLst>
          </c:dPt>
          <c:dPt>
            <c:idx val="3"/>
            <c:bubble3D val="0"/>
            <c:spPr>
              <a:solidFill>
                <a:schemeClr val="accent4"/>
              </a:solidFill>
              <a:ln w="19050">
                <a:solidFill>
                  <a:schemeClr val="lt1"/>
                </a:solidFill>
              </a:ln>
              <a:effectLst/>
            </c:spPr>
            <c:extLst>
              <c:ext xmlns:c16="http://schemas.microsoft.com/office/drawing/2014/chart" uri="{C3380CC4-5D6E-409C-BE32-E72D297353CC}">
                <c16:uniqueId val="{00000007-8D3F-4614-9001-E050ECBB8944}"/>
              </c:ext>
            </c:extLst>
          </c:dPt>
          <c:dPt>
            <c:idx val="4"/>
            <c:bubble3D val="0"/>
            <c:spPr>
              <a:solidFill>
                <a:schemeClr val="accent5"/>
              </a:solidFill>
              <a:ln w="19050">
                <a:solidFill>
                  <a:schemeClr val="lt1"/>
                </a:solidFill>
              </a:ln>
              <a:effectLst/>
            </c:spPr>
            <c:extLst>
              <c:ext xmlns:c16="http://schemas.microsoft.com/office/drawing/2014/chart" uri="{C3380CC4-5D6E-409C-BE32-E72D297353CC}">
                <c16:uniqueId val="{00000009-8D3F-4614-9001-E050ECBB8944}"/>
              </c:ext>
            </c:extLst>
          </c:dPt>
          <c:dPt>
            <c:idx val="5"/>
            <c:bubble3D val="0"/>
            <c:spPr>
              <a:solidFill>
                <a:schemeClr val="accent6"/>
              </a:solidFill>
              <a:ln w="19050">
                <a:solidFill>
                  <a:schemeClr val="lt1"/>
                </a:solidFill>
              </a:ln>
              <a:effectLst/>
            </c:spPr>
            <c:extLst>
              <c:ext xmlns:c16="http://schemas.microsoft.com/office/drawing/2014/chart" uri="{C3380CC4-5D6E-409C-BE32-E72D297353CC}">
                <c16:uniqueId val="{0000000B-8D3F-4614-9001-E050ECBB8944}"/>
              </c:ext>
            </c:extLst>
          </c:dPt>
          <c:dPt>
            <c:idx val="6"/>
            <c:bubble3D val="0"/>
            <c:spPr>
              <a:solidFill>
                <a:schemeClr val="accent1">
                  <a:lumMod val="60000"/>
                </a:schemeClr>
              </a:solidFill>
              <a:ln w="19050">
                <a:solidFill>
                  <a:schemeClr val="lt1"/>
                </a:solidFill>
              </a:ln>
              <a:effectLst/>
            </c:spPr>
            <c:extLst>
              <c:ext xmlns:c16="http://schemas.microsoft.com/office/drawing/2014/chart" uri="{C3380CC4-5D6E-409C-BE32-E72D297353CC}">
                <c16:uniqueId val="{0000000D-8D3F-4614-9001-E050ECBB8944}"/>
              </c:ext>
            </c:extLst>
          </c:dPt>
          <c:dPt>
            <c:idx val="7"/>
            <c:bubble3D val="0"/>
            <c:spPr>
              <a:solidFill>
                <a:schemeClr val="accent2">
                  <a:lumMod val="60000"/>
                </a:schemeClr>
              </a:solidFill>
              <a:ln w="19050">
                <a:solidFill>
                  <a:schemeClr val="lt1"/>
                </a:solidFill>
              </a:ln>
              <a:effectLst/>
            </c:spPr>
            <c:extLst>
              <c:ext xmlns:c16="http://schemas.microsoft.com/office/drawing/2014/chart" uri="{C3380CC4-5D6E-409C-BE32-E72D297353CC}">
                <c16:uniqueId val="{0000000F-8D3F-4614-9001-E050ECBB8944}"/>
              </c:ext>
            </c:extLst>
          </c:dPt>
          <c:dPt>
            <c:idx val="8"/>
            <c:bubble3D val="0"/>
            <c:spPr>
              <a:solidFill>
                <a:schemeClr val="accent3">
                  <a:lumMod val="60000"/>
                </a:schemeClr>
              </a:solidFill>
              <a:ln w="19050">
                <a:solidFill>
                  <a:schemeClr val="lt1"/>
                </a:solidFill>
              </a:ln>
              <a:effectLst/>
            </c:spPr>
            <c:extLst>
              <c:ext xmlns:c16="http://schemas.microsoft.com/office/drawing/2014/chart" uri="{C3380CC4-5D6E-409C-BE32-E72D297353CC}">
                <c16:uniqueId val="{00000011-8D3F-4614-9001-E050ECBB8944}"/>
              </c:ext>
            </c:extLst>
          </c:dPt>
          <c:dPt>
            <c:idx val="9"/>
            <c:bubble3D val="0"/>
            <c:spPr>
              <a:solidFill>
                <a:schemeClr val="accent4">
                  <a:lumMod val="60000"/>
                </a:schemeClr>
              </a:solidFill>
              <a:ln w="19050">
                <a:solidFill>
                  <a:schemeClr val="lt1"/>
                </a:solidFill>
              </a:ln>
              <a:effectLst/>
            </c:spPr>
            <c:extLst>
              <c:ext xmlns:c16="http://schemas.microsoft.com/office/drawing/2014/chart" uri="{C3380CC4-5D6E-409C-BE32-E72D297353CC}">
                <c16:uniqueId val="{00000013-8D3F-4614-9001-E050ECBB8944}"/>
              </c:ext>
            </c:extLst>
          </c:dPt>
          <c:dPt>
            <c:idx val="10"/>
            <c:bubble3D val="0"/>
            <c:spPr>
              <a:solidFill>
                <a:schemeClr val="accent5">
                  <a:lumMod val="60000"/>
                </a:schemeClr>
              </a:solidFill>
              <a:ln w="19050">
                <a:solidFill>
                  <a:schemeClr val="lt1"/>
                </a:solidFill>
              </a:ln>
              <a:effectLst/>
            </c:spPr>
            <c:extLst>
              <c:ext xmlns:c16="http://schemas.microsoft.com/office/drawing/2014/chart" uri="{C3380CC4-5D6E-409C-BE32-E72D297353CC}">
                <c16:uniqueId val="{00000015-8D3F-4614-9001-E050ECBB8944}"/>
              </c:ext>
            </c:extLst>
          </c:dPt>
          <c:dPt>
            <c:idx val="11"/>
            <c:bubble3D val="0"/>
            <c:spPr>
              <a:solidFill>
                <a:schemeClr val="accent6">
                  <a:lumMod val="60000"/>
                </a:schemeClr>
              </a:solidFill>
              <a:ln w="19050">
                <a:solidFill>
                  <a:schemeClr val="lt1"/>
                </a:solidFill>
              </a:ln>
              <a:effectLst/>
            </c:spPr>
            <c:extLst>
              <c:ext xmlns:c16="http://schemas.microsoft.com/office/drawing/2014/chart" uri="{C3380CC4-5D6E-409C-BE32-E72D297353CC}">
                <c16:uniqueId val="{00000017-8D3F-4614-9001-E050ECBB8944}"/>
              </c:ext>
            </c:extLst>
          </c:dPt>
          <c:dPt>
            <c:idx val="12"/>
            <c:bubble3D val="0"/>
            <c:spPr>
              <a:solidFill>
                <a:schemeClr val="accent1">
                  <a:lumMod val="80000"/>
                  <a:lumOff val="20000"/>
                </a:schemeClr>
              </a:solidFill>
              <a:ln w="19050">
                <a:solidFill>
                  <a:schemeClr val="lt1"/>
                </a:solidFill>
              </a:ln>
              <a:effectLst/>
            </c:spPr>
            <c:extLst>
              <c:ext xmlns:c16="http://schemas.microsoft.com/office/drawing/2014/chart" uri="{C3380CC4-5D6E-409C-BE32-E72D297353CC}">
                <c16:uniqueId val="{00000019-8D3F-4614-9001-E050ECBB8944}"/>
              </c:ext>
            </c:extLst>
          </c:dPt>
          <c:dPt>
            <c:idx val="13"/>
            <c:bubble3D val="0"/>
            <c:spPr>
              <a:solidFill>
                <a:schemeClr val="accent2">
                  <a:lumMod val="80000"/>
                  <a:lumOff val="20000"/>
                </a:schemeClr>
              </a:solidFill>
              <a:ln w="19050">
                <a:solidFill>
                  <a:schemeClr val="lt1"/>
                </a:solidFill>
              </a:ln>
              <a:effectLst/>
            </c:spPr>
            <c:extLst>
              <c:ext xmlns:c16="http://schemas.microsoft.com/office/drawing/2014/chart" uri="{C3380CC4-5D6E-409C-BE32-E72D297353CC}">
                <c16:uniqueId val="{0000001B-8D3F-4614-9001-E050ECBB8944}"/>
              </c:ext>
            </c:extLst>
          </c:dPt>
          <c:dPt>
            <c:idx val="14"/>
            <c:bubble3D val="0"/>
            <c:spPr>
              <a:solidFill>
                <a:schemeClr val="accent3">
                  <a:lumMod val="80000"/>
                  <a:lumOff val="20000"/>
                </a:schemeClr>
              </a:solidFill>
              <a:ln w="19050">
                <a:solidFill>
                  <a:schemeClr val="lt1"/>
                </a:solidFill>
              </a:ln>
              <a:effectLst/>
            </c:spPr>
            <c:extLst>
              <c:ext xmlns:c16="http://schemas.microsoft.com/office/drawing/2014/chart" uri="{C3380CC4-5D6E-409C-BE32-E72D297353CC}">
                <c16:uniqueId val="{0000001D-8D3F-4614-9001-E050ECBB8944}"/>
              </c:ext>
            </c:extLst>
          </c:dPt>
          <c:dPt>
            <c:idx val="15"/>
            <c:bubble3D val="0"/>
            <c:spPr>
              <a:solidFill>
                <a:schemeClr val="accent4">
                  <a:lumMod val="80000"/>
                  <a:lumOff val="20000"/>
                </a:schemeClr>
              </a:solidFill>
              <a:ln w="19050">
                <a:solidFill>
                  <a:schemeClr val="lt1"/>
                </a:solidFill>
              </a:ln>
              <a:effectLst/>
            </c:spPr>
            <c:extLst>
              <c:ext xmlns:c16="http://schemas.microsoft.com/office/drawing/2014/chart" uri="{C3380CC4-5D6E-409C-BE32-E72D297353CC}">
                <c16:uniqueId val="{0000001F-8D3F-4614-9001-E050ECBB8944}"/>
              </c:ext>
            </c:extLst>
          </c:dPt>
          <c:dPt>
            <c:idx val="16"/>
            <c:bubble3D val="0"/>
            <c:spPr>
              <a:solidFill>
                <a:schemeClr val="accent5">
                  <a:lumMod val="80000"/>
                  <a:lumOff val="20000"/>
                </a:schemeClr>
              </a:solidFill>
              <a:ln w="19050">
                <a:solidFill>
                  <a:schemeClr val="lt1"/>
                </a:solidFill>
              </a:ln>
              <a:effectLst/>
            </c:spPr>
            <c:extLst>
              <c:ext xmlns:c16="http://schemas.microsoft.com/office/drawing/2014/chart" uri="{C3380CC4-5D6E-409C-BE32-E72D297353CC}">
                <c16:uniqueId val="{00000021-8D3F-4614-9001-E050ECBB8944}"/>
              </c:ext>
            </c:extLst>
          </c:dPt>
          <c:dPt>
            <c:idx val="17"/>
            <c:bubble3D val="0"/>
            <c:spPr>
              <a:solidFill>
                <a:schemeClr val="accent6">
                  <a:lumMod val="80000"/>
                  <a:lumOff val="20000"/>
                </a:schemeClr>
              </a:solidFill>
              <a:ln w="19050">
                <a:solidFill>
                  <a:schemeClr val="lt1"/>
                </a:solidFill>
              </a:ln>
              <a:effectLst/>
            </c:spPr>
            <c:extLst>
              <c:ext xmlns:c16="http://schemas.microsoft.com/office/drawing/2014/chart" uri="{C3380CC4-5D6E-409C-BE32-E72D297353CC}">
                <c16:uniqueId val="{00000023-8D3F-4614-9001-E050ECBB8944}"/>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1"/>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'TB ANNUEL'!$B$27:$B$44</c:f>
              <c:strCache>
                <c:ptCount val="18"/>
                <c:pt idx="0">
                  <c:v>Foyer</c:v>
                </c:pt>
                <c:pt idx="1">
                  <c:v>Repas</c:v>
                </c:pt>
                <c:pt idx="2">
                  <c:v>Transport</c:v>
                </c:pt>
                <c:pt idx="3">
                  <c:v>Voyage</c:v>
                </c:pt>
                <c:pt idx="4">
                  <c:v>Self_Care</c:v>
                </c:pt>
                <c:pt idx="5">
                  <c:v>Loisirs</c:v>
                </c:pt>
                <c:pt idx="6">
                  <c:v>Animaux</c:v>
                </c:pt>
                <c:pt idx="7">
                  <c:v>Cadeaux</c:v>
                </c:pt>
                <c:pt idx="8">
                  <c:v>Charité</c:v>
                </c:pt>
                <c:pt idx="9">
                  <c:v>Sport</c:v>
                </c:pt>
                <c:pt idx="10">
                  <c:v>Education </c:v>
                </c:pt>
                <c:pt idx="11">
                  <c:v>Crédit</c:v>
                </c:pt>
                <c:pt idx="12">
                  <c:v>Santé</c:v>
                </c:pt>
                <c:pt idx="13">
                  <c:v>Enfants</c:v>
                </c:pt>
                <c:pt idx="14">
                  <c:v>Impôts</c:v>
                </c:pt>
                <c:pt idx="15">
                  <c:v>Assurances</c:v>
                </c:pt>
                <c:pt idx="16">
                  <c:v>Prêts</c:v>
                </c:pt>
                <c:pt idx="17">
                  <c:v>Autres</c:v>
                </c:pt>
              </c:strCache>
            </c:strRef>
          </c:cat>
          <c:val>
            <c:numRef>
              <c:f>'TB ANNUEL'!$P$27:$P$44</c:f>
              <c:numCache>
                <c:formatCode>_(* #.##0\.00_);_(* \(#.##0\.00\);_(* "-"??_);_(@_)</c:formatCode>
                <c:ptCount val="18"/>
                <c:pt idx="0">
                  <c:v>4500</c:v>
                </c:pt>
                <c:pt idx="1">
                  <c:v>1150</c:v>
                </c:pt>
                <c:pt idx="2">
                  <c:v>1400</c:v>
                </c:pt>
                <c:pt idx="3">
                  <c:v>300</c:v>
                </c:pt>
                <c:pt idx="4">
                  <c:v>1200</c:v>
                </c:pt>
                <c:pt idx="5">
                  <c:v>0</c:v>
                </c:pt>
                <c:pt idx="6">
                  <c:v>0</c:v>
                </c:pt>
                <c:pt idx="7">
                  <c:v>2950</c:v>
                </c:pt>
                <c:pt idx="8">
                  <c:v>200</c:v>
                </c:pt>
                <c:pt idx="9">
                  <c:v>0</c:v>
                </c:pt>
                <c:pt idx="10">
                  <c:v>0</c:v>
                </c:pt>
                <c:pt idx="11">
                  <c:v>0</c:v>
                </c:pt>
                <c:pt idx="12">
                  <c:v>0</c:v>
                </c:pt>
                <c:pt idx="13">
                  <c:v>0</c:v>
                </c:pt>
                <c:pt idx="14">
                  <c:v>0</c:v>
                </c:pt>
                <c:pt idx="15">
                  <c:v>0</c:v>
                </c:pt>
                <c:pt idx="16">
                  <c:v>300</c:v>
                </c:pt>
                <c:pt idx="17">
                  <c:v>0</c:v>
                </c:pt>
              </c:numCache>
            </c:numRef>
          </c:val>
          <c:extLst>
            <c:ext xmlns:c16="http://schemas.microsoft.com/office/drawing/2014/chart" uri="{C3380CC4-5D6E-409C-BE32-E72D297353CC}">
              <c16:uniqueId val="{00000024-8D3F-4614-9001-E050ECBB8944}"/>
            </c:ext>
          </c:extLst>
        </c:ser>
        <c:dLbls>
          <c:showLegendKey val="0"/>
          <c:showVal val="0"/>
          <c:showCatName val="1"/>
          <c:showSerName val="0"/>
          <c:showPercent val="1"/>
          <c:showBubbleSize val="0"/>
          <c:showLeaderLines val="1"/>
        </c:dLbls>
        <c:firstSliceAng val="0"/>
      </c:pieChart>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[MY POCKET.xlsm]DETAILS!Tableau croisé dynamique11</c:name>
    <c:fmtId val="0"/>
  </c:pivotSource>
  <c:chart>
    <c:autoTitleDeleted val="1"/>
    <c:pivotFmts>
      <c:pivotFmt>
        <c:idx val="0"/>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extLst>
        </c:dLbl>
      </c:pivotFmt>
      <c:pivotFmt>
        <c:idx val="1"/>
        <c:spPr>
          <a:solidFill>
            <a:schemeClr val="accent1"/>
          </a:solidFill>
          <a:ln>
            <a:noFill/>
          </a:ln>
          <a:effectLst>
            <a:outerShdw blurRad="63500" sx="102000" sy="102000" algn="ctr" rotWithShape="0">
              <a:prstClr val="black">
                <a:alpha val="20000"/>
              </a:prstClr>
            </a:outerShdw>
          </a:effectLst>
        </c:spPr>
      </c:pivotFmt>
      <c:pivotFmt>
        <c:idx val="2"/>
        <c:spPr>
          <a:solidFill>
            <a:schemeClr val="accent2"/>
          </a:solidFill>
          <a:ln>
            <a:noFill/>
          </a:ln>
          <a:effectLst>
            <a:outerShdw blurRad="63500" sx="102000" sy="102000" algn="ctr" rotWithShape="0">
              <a:prstClr val="black">
                <a:alpha val="20000"/>
              </a:prstClr>
            </a:outerShdw>
          </a:effectLst>
        </c:spPr>
      </c:pivotFmt>
      <c:pivotFmt>
        <c:idx val="3"/>
        <c:spPr>
          <a:solidFill>
            <a:schemeClr val="accent3"/>
          </a:solidFill>
          <a:ln>
            <a:noFill/>
          </a:ln>
          <a:effectLst>
            <a:outerShdw blurRad="63500" sx="102000" sy="102000" algn="ctr" rotWithShape="0">
              <a:prstClr val="black">
                <a:alpha val="20000"/>
              </a:prstClr>
            </a:outerShdw>
          </a:effectLst>
        </c:spPr>
      </c:pivotFmt>
      <c:pivotFmt>
        <c:idx val="4"/>
        <c:spPr>
          <a:solidFill>
            <a:schemeClr val="accent4"/>
          </a:solidFill>
          <a:ln>
            <a:noFill/>
          </a:ln>
          <a:effectLst>
            <a:outerShdw blurRad="63500" sx="102000" sy="102000" algn="ctr" rotWithShape="0">
              <a:prstClr val="black">
                <a:alpha val="20000"/>
              </a:prstClr>
            </a:outerShdw>
          </a:effectLst>
        </c:spPr>
      </c:pivotFmt>
      <c:pivotFmt>
        <c:idx val="5"/>
        <c:spPr>
          <a:solidFill>
            <a:schemeClr val="accent5"/>
          </a:solidFill>
          <a:ln>
            <a:noFill/>
          </a:ln>
          <a:effectLst>
            <a:outerShdw blurRad="63500" sx="102000" sy="102000" algn="ctr" rotWithShape="0">
              <a:prstClr val="black">
                <a:alpha val="20000"/>
              </a:prstClr>
            </a:outerShdw>
          </a:effectLst>
        </c:spPr>
      </c:pivotFmt>
      <c:pivotFmt>
        <c:idx val="6"/>
        <c:spPr>
          <a:solidFill>
            <a:schemeClr val="accent6"/>
          </a:solidFill>
          <a:ln>
            <a:noFill/>
          </a:ln>
          <a:effectLst>
            <a:outerShdw blurRad="63500" sx="102000" sy="102000" algn="ctr" rotWithShape="0">
              <a:prstClr val="black">
                <a:alpha val="20000"/>
              </a:prstClr>
            </a:outerShdw>
          </a:effectLst>
        </c:spPr>
      </c:pivotFmt>
      <c:pivotFmt>
        <c:idx val="7"/>
        <c:spPr>
          <a:solidFill>
            <a:schemeClr val="accent1">
              <a:lumMod val="60000"/>
            </a:schemeClr>
          </a:solidFill>
          <a:ln>
            <a:noFill/>
          </a:ln>
          <a:effectLst>
            <a:outerShdw blurRad="63500" sx="102000" sy="102000" algn="ctr" rotWithShape="0">
              <a:prstClr val="black">
                <a:alpha val="20000"/>
              </a:prstClr>
            </a:outerShdw>
          </a:effectLst>
        </c:spPr>
      </c:pivotFmt>
      <c:pivotFmt>
        <c:idx val="8"/>
        <c:spPr>
          <a:solidFill>
            <a:schemeClr val="accent2">
              <a:lumMod val="60000"/>
            </a:schemeClr>
          </a:solidFill>
          <a:ln>
            <a:noFill/>
          </a:ln>
          <a:effectLst>
            <a:outerShdw blurRad="63500" sx="102000" sy="102000" algn="ctr" rotWithShape="0">
              <a:prstClr val="black">
                <a:alpha val="20000"/>
              </a:prstClr>
            </a:outerShdw>
          </a:effectLst>
        </c:spPr>
      </c:pivotFmt>
      <c:pivotFmt>
        <c:idx val="9"/>
        <c:spPr>
          <a:solidFill>
            <a:schemeClr val="accent3">
              <a:lumMod val="60000"/>
            </a:schemeClr>
          </a:solidFill>
          <a:ln>
            <a:noFill/>
          </a:ln>
          <a:effectLst>
            <a:outerShdw blurRad="63500" sx="102000" sy="102000" algn="ctr" rotWithShape="0">
              <a:prstClr val="black">
                <a:alpha val="20000"/>
              </a:prstClr>
            </a:outerShdw>
          </a:effectLst>
        </c:spPr>
      </c:pivotFmt>
      <c:pivotFmt>
        <c:idx val="10"/>
        <c:spPr>
          <a:solidFill>
            <a:schemeClr val="accent4">
              <a:lumMod val="60000"/>
            </a:schemeClr>
          </a:solidFill>
          <a:ln>
            <a:noFill/>
          </a:ln>
          <a:effectLst>
            <a:outerShdw blurRad="63500" sx="102000" sy="102000" algn="ctr" rotWithShape="0">
              <a:prstClr val="black">
                <a:alpha val="20000"/>
              </a:prstClr>
            </a:outerShdw>
          </a:effectLst>
        </c:spPr>
      </c:pivotFmt>
    </c:pivotFmts>
    <c:plotArea>
      <c:layout/>
      <c:pieChart>
        <c:varyColors val="1"/>
        <c:ser>
          <c:idx val="0"/>
          <c:order val="0"/>
          <c:tx>
            <c:strRef>
              <c:f>DETAILS!$G$6</c:f>
              <c:strCache>
                <c:ptCount val="1"/>
                <c:pt idx="0">
                  <c:v>Total</c:v>
                </c:pt>
              </c:strCache>
            </c:strRef>
          </c:tx>
          <c:dPt>
            <c:idx val="0"/>
            <c:bubble3D val="0"/>
            <c:spPr>
              <a:solidFill>
                <a:schemeClr val="accent1"/>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1-7128-4E85-A6F8-281B721D87CD}"/>
              </c:ext>
            </c:extLst>
          </c:dPt>
          <c:dPt>
            <c:idx val="1"/>
            <c:bubble3D val="0"/>
            <c:spPr>
              <a:solidFill>
                <a:schemeClr val="accent2"/>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3-7128-4E85-A6F8-281B721D87CD}"/>
              </c:ext>
            </c:extLst>
          </c:dPt>
          <c:dPt>
            <c:idx val="2"/>
            <c:bubble3D val="0"/>
            <c:extLst>
              <c:ext xmlns:c16="http://schemas.microsoft.com/office/drawing/2014/chart" uri="{C3380CC4-5D6E-409C-BE32-E72D297353CC}">
                <c16:uniqueId val="{00000004-7128-4E85-A6F8-281B721D87CD}"/>
              </c:ext>
            </c:extLst>
          </c:dPt>
          <c:dPt>
            <c:idx val="3"/>
            <c:bubble3D val="0"/>
            <c:extLst>
              <c:ext xmlns:c16="http://schemas.microsoft.com/office/drawing/2014/chart" uri="{C3380CC4-5D6E-409C-BE32-E72D297353CC}">
                <c16:uniqueId val="{00000006-7128-4E85-A6F8-281B721D87CD}"/>
              </c:ext>
            </c:extLst>
          </c:dPt>
          <c:dPt>
            <c:idx val="4"/>
            <c:bubble3D val="0"/>
            <c:spPr>
              <a:solidFill>
                <a:schemeClr val="accent5"/>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8-7128-4E85-A6F8-281B721D87CD}"/>
              </c:ext>
            </c:extLst>
          </c:dPt>
          <c:dPt>
            <c:idx val="5"/>
            <c:bubble3D val="0"/>
            <c:spPr>
              <a:solidFill>
                <a:schemeClr val="accent6"/>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A-7128-4E85-A6F8-281B721D87CD}"/>
              </c:ext>
            </c:extLst>
          </c:dPt>
          <c:dPt>
            <c:idx val="6"/>
            <c:bubble3D val="0"/>
            <c:spPr>
              <a:solidFill>
                <a:schemeClr val="accent1">
                  <a:lumMod val="6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C-7128-4E85-A6F8-281B721D87CD}"/>
              </c:ext>
            </c:extLst>
          </c:dPt>
          <c:dPt>
            <c:idx val="7"/>
            <c:bubble3D val="0"/>
            <c:spPr>
              <a:solidFill>
                <a:schemeClr val="accent3">
                  <a:lumMod val="60000"/>
                </a:schemeClr>
              </a:solidFill>
              <a:ln>
                <a:noFill/>
              </a:ln>
              <a:effectLst>
                <a:outerShdw blurRad="63500" sx="102000" sy="102000" algn="ctr" rotWithShape="0">
                  <a:prstClr val="black">
                    <a:alpha val="20000"/>
                  </a:prstClr>
                </a:outerShdw>
              </a:effectLst>
            </c:spPr>
            <c:extLst>
              <c:ext xmlns:c16="http://schemas.microsoft.com/office/drawing/2014/chart" uri="{C3380CC4-5D6E-409C-BE32-E72D297353CC}">
                <c16:uniqueId val="{0000000E-7128-4E85-A6F8-281B721D87CD}"/>
              </c:ext>
            </c:extLst>
          </c:dPt>
          <c:dPt>
            <c:idx val="8"/>
            <c:bubble3D val="0"/>
            <c:extLst>
              <c:ext xmlns:c16="http://schemas.microsoft.com/office/drawing/2014/chart" uri="{C3380CC4-5D6E-409C-BE32-E72D297353CC}">
                <c16:uniqueId val="{0000000F-7128-4E85-A6F8-281B721D87CD}"/>
              </c:ext>
            </c:extLst>
          </c:dPt>
          <c:dPt>
            <c:idx val="9"/>
            <c:bubble3D val="0"/>
            <c:extLst>
              <c:ext xmlns:c16="http://schemas.microsoft.com/office/drawing/2014/chart" uri="{C3380CC4-5D6E-409C-BE32-E72D297353CC}">
                <c16:uniqueId val="{00000010-7128-4E85-A6F8-281B721D87CD}"/>
              </c:ext>
            </c:extLst>
          </c:dPt>
          <c:dLbls>
            <c:spPr>
              <a:noFill/>
              <a:ln>
                <a:noFill/>
              </a:ln>
              <a:effectLst/>
            </c:spPr>
            <c:txPr>
              <a:bodyPr rot="0" spcFirstLastPara="1" vertOverflow="ellipsis" vert="horz" wrap="square" lIns="38100" tIns="19050" rIns="38100" bIns="19050" anchor="ctr" anchorCtr="1">
                <a:spAutoFit/>
              </a:bodyPr>
              <a:lstStyle/>
              <a:p>
                <a:pPr>
                  <a:defRPr sz="1000" b="1" i="0" u="none" strike="noStrike" kern="1200" spc="0" baseline="0">
                    <a:solidFill>
                      <a:schemeClr val="accent1"/>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cat>
            <c:strRef>
              <c:f>DETAILS!$F$7:$F$25</c:f>
              <c:strCache>
                <c:ptCount val="18"/>
                <c:pt idx="0">
                  <c:v>Co-voiturage</c:v>
                </c:pt>
                <c:pt idx="1">
                  <c:v>Habillement</c:v>
                </c:pt>
                <c:pt idx="2">
                  <c:v>Ihssane</c:v>
                </c:pt>
                <c:pt idx="3">
                  <c:v>(vide)</c:v>
                </c:pt>
                <c:pt idx="4">
                  <c:v>HAMMAM</c:v>
                </c:pt>
                <c:pt idx="5">
                  <c:v>Nourritures</c:v>
                </c:pt>
                <c:pt idx="6">
                  <c:v>Logement</c:v>
                </c:pt>
                <c:pt idx="7">
                  <c:v>Parents</c:v>
                </c:pt>
                <c:pt idx="8">
                  <c:v>Fournitures</c:v>
                </c:pt>
                <c:pt idx="9">
                  <c:v>Transport Commun</c:v>
                </c:pt>
                <c:pt idx="10">
                  <c:v>Café</c:v>
                </c:pt>
                <c:pt idx="11">
                  <c:v>Internet et Téléphone</c:v>
                </c:pt>
                <c:pt idx="12">
                  <c:v>Eau, Electricité, Gaz</c:v>
                </c:pt>
                <c:pt idx="13">
                  <c:v>Coiffeur</c:v>
                </c:pt>
                <c:pt idx="14">
                  <c:v>Prêt 1</c:v>
                </c:pt>
                <c:pt idx="15">
                  <c:v>Charité</c:v>
                </c:pt>
                <c:pt idx="16">
                  <c:v>Restaurant</c:v>
                </c:pt>
                <c:pt idx="17">
                  <c:v>Aymane</c:v>
                </c:pt>
              </c:strCache>
            </c:strRef>
          </c:cat>
          <c:val>
            <c:numRef>
              <c:f>DETAILS!$G$7:$G$25</c:f>
              <c:numCache>
                <c:formatCode>General</c:formatCode>
                <c:ptCount val="18"/>
                <c:pt idx="0">
                  <c:v>1400</c:v>
                </c:pt>
                <c:pt idx="1">
                  <c:v>800</c:v>
                </c:pt>
                <c:pt idx="2">
                  <c:v>300</c:v>
                </c:pt>
                <c:pt idx="4">
                  <c:v>200</c:v>
                </c:pt>
                <c:pt idx="5">
                  <c:v>500</c:v>
                </c:pt>
                <c:pt idx="6">
                  <c:v>3000</c:v>
                </c:pt>
                <c:pt idx="7">
                  <c:v>2500</c:v>
                </c:pt>
                <c:pt idx="8">
                  <c:v>500</c:v>
                </c:pt>
                <c:pt idx="9">
                  <c:v>300</c:v>
                </c:pt>
                <c:pt idx="10">
                  <c:v>450</c:v>
                </c:pt>
                <c:pt idx="11">
                  <c:v>400</c:v>
                </c:pt>
                <c:pt idx="12">
                  <c:v>100</c:v>
                </c:pt>
                <c:pt idx="13">
                  <c:v>200</c:v>
                </c:pt>
                <c:pt idx="14">
                  <c:v>300</c:v>
                </c:pt>
                <c:pt idx="15">
                  <c:v>200</c:v>
                </c:pt>
                <c:pt idx="16">
                  <c:v>700</c:v>
                </c:pt>
                <c:pt idx="17">
                  <c:v>150</c:v>
                </c:pt>
              </c:numCache>
            </c:numRef>
          </c:val>
          <c:extLst>
            <c:ext xmlns:c16="http://schemas.microsoft.com/office/drawing/2014/chart" uri="{C3380CC4-5D6E-409C-BE32-E72D297353CC}">
              <c16:uniqueId val="{00000011-7128-4E85-A6F8-281B721D87CD}"/>
            </c:ext>
          </c:extLst>
        </c:ser>
        <c:dLbls>
          <c:dLblPos val="outEnd"/>
          <c:showLegendKey val="0"/>
          <c:showVal val="0"/>
          <c:showCatName val="0"/>
          <c:showSerName val="0"/>
          <c:showPercent val="1"/>
          <c:showBubbleSize val="0"/>
          <c:showLeaderLines val="1"/>
        </c:dLbls>
        <c:firstSliceAng val="0"/>
      </c:pieChart>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3">
  <a:schemeClr val="accent6"/>
  <a:schemeClr val="accent5"/>
  <a:schemeClr val="accent4"/>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1">
  <a:schemeClr val="accent1"/>
  <a:schemeClr val="accent3"/>
  <a:schemeClr val="accent5"/>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06">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b="0" kern="1200" cap="none" spc="0" normalizeH="0" baseline="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75000"/>
        <a:lumOff val="2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38100"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8"/>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50000"/>
            <a:lumOff val="50000"/>
          </a:schemeClr>
        </a:solidFill>
        <a:prstDash val="dash"/>
      </a:ln>
    </cs:spPr>
  </cs:dropLine>
  <cs:errorBar>
    <cs:lnRef idx="0"/>
    <cs:fillRef idx="0"/>
    <cs:effectRef idx="0"/>
    <cs:fontRef idx="minor">
      <a:schemeClr val="dk1"/>
    </cs:fontRef>
    <cs:spPr>
      <a:ln w="9525">
        <a:solidFill>
          <a:schemeClr val="tx1">
            <a:lumMod val="50000"/>
            <a:lumOff val="50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w="9525" cap="flat" cmpd="sng" algn="ctr">
        <a:solidFill>
          <a:schemeClr val="tx1">
            <a:lumMod val="5000"/>
            <a:lumOff val="95000"/>
          </a:schemeClr>
        </a:solidFill>
        <a:round/>
      </a:ln>
    </cs:spPr>
  </cs:gridlineMinor>
  <cs:hiLoLine>
    <cs:lnRef idx="0"/>
    <cs:fillRef idx="0"/>
    <cs:effectRef idx="0"/>
    <cs:fontRef idx="minor">
      <a:schemeClr val="dk1"/>
    </cs:fontRef>
    <cs:spPr>
      <a:ln w="9525">
        <a:solidFill>
          <a:schemeClr val="tx1">
            <a:lumMod val="50000"/>
            <a:lumOff val="50000"/>
          </a:schemeClr>
        </a:solidFill>
        <a:prstDash val="dash"/>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ajor">
      <a:schemeClr val="tx1">
        <a:lumMod val="65000"/>
        <a:lumOff val="35000"/>
      </a:schemeClr>
    </cs:fontRef>
    <cs:defRPr sz="2000" b="0" kern="1200" cap="none" spc="0" normalizeH="0" baseline="0"/>
  </cs:title>
  <cs:trendline>
    <cs:lnRef idx="0">
      <cs:styleClr val="auto"/>
    </cs:lnRef>
    <cs:fillRef idx="0"/>
    <cs:effectRef idx="0"/>
    <cs:fontRef idx="minor">
      <a:schemeClr val="dk1"/>
    </cs:fontRef>
    <cs:spPr>
      <a:ln w="19050" cap="rnd">
        <a:solidFill>
          <a:schemeClr val="phClr"/>
        </a:solidFill>
        <a:round/>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harts/style3.xml><?xml version="1.0" encoding="utf-8"?>
<cs:chartStyle xmlns:cs="http://schemas.microsoft.com/office/drawing/2012/chartStyle" xmlns:a="http://schemas.openxmlformats.org/drawingml/2006/main" id="230">
  <cs:axisTitle>
    <cs:lnRef idx="0"/>
    <cs:fillRef idx="0"/>
    <cs:effectRef idx="0"/>
    <cs:fontRef idx="minor">
      <a:schemeClr val="dk1">
        <a:lumMod val="65000"/>
        <a:lumOff val="35000"/>
      </a:schemeClr>
    </cs:fontRef>
    <cs:defRPr sz="900" kern="1200" cap="all"/>
  </cs:axisTitle>
  <cs:categoryAxis>
    <cs:lnRef idx="0"/>
    <cs:fillRef idx="0"/>
    <cs:effectRef idx="0"/>
    <cs:fontRef idx="minor">
      <a:schemeClr val="dk1">
        <a:lumMod val="65000"/>
        <a:lumOff val="35000"/>
      </a:schemeClr>
    </cs:fontRef>
    <cs:spPr>
      <a:ln w="9525" cap="flat" cmpd="sng" algn="ctr">
        <a:solidFill>
          <a:schemeClr val="dk1">
            <a:lumMod val="15000"/>
            <a:lumOff val="85000"/>
          </a:schemeClr>
        </a:solidFill>
        <a:round/>
      </a:ln>
    </cs:spPr>
    <cs:defRPr sz="900" b="0" kern="1200" spc="20" baseline="0"/>
  </cs:categoryAxis>
  <cs:chartArea mods="allowNoLineOverride">
    <cs:lnRef idx="0"/>
    <cs:fillRef idx="0"/>
    <cs:effectRef idx="0"/>
    <cs:fontRef idx="minor">
      <a:schemeClr val="dk1"/>
    </cs:fontRef>
    <cs:spPr>
      <a:solidFill>
        <a:schemeClr val="lt1"/>
      </a:solidFill>
      <a:ln w="9525" cap="flat" cmpd="sng" algn="ctr">
        <a:solidFill>
          <a:schemeClr val="dk1">
            <a:lumMod val="15000"/>
            <a:lumOff val="85000"/>
          </a:schemeClr>
        </a:solidFill>
        <a:round/>
      </a:ln>
    </cs:spPr>
    <cs:defRPr sz="900" kern="1200"/>
  </cs:chartArea>
  <cs:dataLabel>
    <cs:lnRef idx="0"/>
    <cs:fillRef idx="0"/>
    <cs:effectRef idx="0"/>
    <cs:fontRef idx="minor">
      <a:schemeClr val="dk1">
        <a:lumMod val="65000"/>
        <a:lumOff val="3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
  <cs:dataPoint3D>
    <cs:lnRef idx="0">
      <cs:styleClr val="auto"/>
    </cs:lnRef>
    <cs:fillRef idx="2">
      <cs:styleClr val="auto"/>
    </cs:fillRef>
    <cs:effectRef idx="1"/>
    <cs:fontRef idx="minor">
      <a:schemeClr val="dk1"/>
    </cs:fontRef>
    <cs:spPr>
      <a:ln w="9525" cap="flat" cmpd="sng" algn="ctr">
        <a:solidFill>
          <a:schemeClr val="phClr">
            <a:shade val="95000"/>
          </a:schemeClr>
        </a:solidFill>
        <a:round/>
      </a:ln>
    </cs:spPr>
  </cs:dataPoint3D>
  <cs:dataPointLine>
    <cs:lnRef idx="0">
      <cs:styleClr val="auto"/>
    </cs:lnRef>
    <cs:fillRef idx="0"/>
    <cs:effectRef idx="0"/>
    <cs:fontRef idx="minor">
      <a:schemeClr val="dk1"/>
    </cs:fontRef>
    <cs:spPr>
      <a:ln w="22225" cap="rnd" cmpd="sng" algn="ctr">
        <a:solidFill>
          <a:schemeClr val="phClr"/>
        </a:solidFill>
        <a:round/>
      </a:ln>
    </cs:spPr>
  </cs:dataPointLine>
  <cs:dataPointMarker>
    <cs:lnRef idx="0">
      <cs:styleClr val="auto"/>
    </cs:lnRef>
    <cs:fillRef idx="0">
      <cs:styleClr val="auto"/>
    </cs:fillRef>
    <cs:effectRef idx="0"/>
    <cs:fontRef idx="minor">
      <a:schemeClr val="dk1"/>
    </cs:fontRef>
    <cs:spPr>
      <a:solidFill>
        <a:schemeClr val="phClr"/>
      </a:solidFill>
      <a:ln w="9525" cap="flat" cmpd="sng" algn="ctr">
        <a:solidFill>
          <a:schemeClr val="phClr"/>
        </a:solidFill>
        <a:round/>
      </a:ln>
    </cs:spPr>
  </cs:dataPointMarker>
  <cs:dataPointMarkerLayout symbol="circle" size="4"/>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65000"/>
        <a:lumOff val="35000"/>
      </a:schemeClr>
    </cs:fontRef>
    <cs:spPr>
      <a:ln w="9525">
        <a:solidFill>
          <a:schemeClr val="dk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dk1">
            <a:lumMod val="65000"/>
            <a:lumOff val="35000"/>
          </a:schemeClr>
        </a:solidFill>
      </a:ln>
    </cs:spPr>
  </cs:downBar>
  <cs:dropLine>
    <cs:lnRef idx="0"/>
    <cs:fillRef idx="0"/>
    <cs:effectRef idx="0"/>
    <cs:fontRef idx="minor">
      <a:schemeClr val="dk1"/>
    </cs:fontRef>
    <cs:spPr>
      <a:ln w="9525" cap="flat" cmpd="sng" algn="ctr">
        <a:solidFill>
          <a:schemeClr val="dk1">
            <a:lumMod val="35000"/>
            <a:lumOff val="65000"/>
            <a:alpha val="33000"/>
          </a:schemeClr>
        </a:solidFill>
        <a:round/>
      </a:ln>
    </cs:spPr>
  </cs:dropLine>
  <cs:errorBar>
    <cs:lnRef idx="0"/>
    <cs:fillRef idx="0"/>
    <cs:effectRef idx="0"/>
    <cs:fontRef idx="minor">
      <a:schemeClr val="dk1"/>
    </cs:fontRef>
    <cs:spPr>
      <a:ln w="9525">
        <a:solidFill>
          <a:schemeClr val="dk1">
            <a:lumMod val="65000"/>
            <a:lumOff val="35000"/>
          </a:schemeClr>
        </a:solidFill>
      </a:ln>
    </cs:spPr>
  </cs:errorBar>
  <cs:floor>
    <cs:lnRef idx="0"/>
    <cs:fillRef idx="0"/>
    <cs:effectRef idx="0"/>
    <cs:fontRef idx="minor">
      <a:schemeClr val="dk1"/>
    </cs:fontRef>
  </cs:floor>
  <cs:gridlineMajor>
    <cs:lnRef idx="0"/>
    <cs:fillRef idx="0"/>
    <cs:effectRef idx="0"/>
    <cs:fontRef idx="minor">
      <a:schemeClr val="dk1"/>
    </cs:fontRef>
    <cs:spPr>
      <a:ln>
        <a:solidFill>
          <a:schemeClr val="dk1">
            <a:lumMod val="15000"/>
            <a:lumOff val="85000"/>
          </a:schemeClr>
        </a:solidFill>
      </a:ln>
    </cs:spPr>
  </cs:gridlineMajor>
  <cs:gridlineMinor>
    <cs:lnRef idx="0"/>
    <cs:fillRef idx="0"/>
    <cs:effectRef idx="0"/>
    <cs:fontRef idx="minor">
      <a:schemeClr val="dk1"/>
    </cs:fontRef>
    <cs:spPr>
      <a:ln>
        <a:solidFill>
          <a:schemeClr val="dk1">
            <a:lumMod val="5000"/>
            <a:lumOff val="95000"/>
          </a:schemeClr>
        </a:solidFill>
      </a:ln>
    </cs:spPr>
  </cs:gridlineMinor>
  <cs:hiLoLine>
    <cs:lnRef idx="0"/>
    <cs:fillRef idx="0"/>
    <cs:effectRef idx="0"/>
    <cs:fontRef idx="minor">
      <a:schemeClr val="dk1"/>
    </cs:fontRef>
    <cs:spPr>
      <a:ln w="9525">
        <a:solidFill>
          <a:schemeClr val="dk1">
            <a:lumMod val="35000"/>
            <a:lumOff val="65000"/>
          </a:schemeClr>
        </a:solidFill>
      </a:ln>
    </cs:spPr>
  </cs:hiLoLine>
  <cs:leaderLine>
    <cs:lnRef idx="0"/>
    <cs:fillRef idx="0"/>
    <cs:effectRef idx="0"/>
    <cs:fontRef idx="minor">
      <a:schemeClr val="dk1"/>
    </cs:fontRef>
    <cs:spPr>
      <a:ln w="9525">
        <a:solidFill>
          <a:schemeClr val="dk1">
            <a:lumMod val="35000"/>
            <a:lumOff val="65000"/>
          </a:schemeClr>
        </a:solidFill>
      </a:ln>
    </cs:spPr>
  </cs:leaderLine>
  <cs:legend>
    <cs:lnRef idx="0"/>
    <cs:fillRef idx="0"/>
    <cs:effectRef idx="0"/>
    <cs:fontRef idx="minor">
      <a:schemeClr val="dk1">
        <a:lumMod val="65000"/>
        <a:lumOff val="35000"/>
      </a:schemeClr>
    </cs:fontRef>
    <cs:defRPr sz="900" kern="1200"/>
  </cs:legend>
  <cs:plotArea>
    <cs:lnRef idx="0"/>
    <cs:fillRef idx="0"/>
    <cs:effectRef idx="0"/>
    <cs:fontRef idx="minor">
      <a:schemeClr val="dk1"/>
    </cs:fontRef>
    <cs:spPr>
      <a:gradFill>
        <a:gsLst>
          <a:gs pos="100000">
            <a:schemeClr val="lt1">
              <a:lumMod val="95000"/>
            </a:schemeClr>
          </a:gs>
          <a:gs pos="0">
            <a:schemeClr val="lt1"/>
          </a:gs>
        </a:gsLst>
        <a:lin ang="5400000" scaled="0"/>
      </a:gradFill>
    </cs:spPr>
  </cs:plotArea>
  <cs:plotArea3D>
    <cs:lnRef idx="0"/>
    <cs:fillRef idx="0"/>
    <cs:effectRef idx="0"/>
    <cs:fontRef idx="minor">
      <a:schemeClr val="dk1"/>
    </cs:fontRef>
  </cs:plotArea3D>
  <cs:seriesAxis>
    <cs:lnRef idx="0"/>
    <cs:fillRef idx="0"/>
    <cs:effectRef idx="0"/>
    <cs:fontRef idx="minor">
      <a:schemeClr val="dk1">
        <a:lumMod val="65000"/>
        <a:lumOff val="35000"/>
      </a:schemeClr>
    </cs:fontRef>
    <cs:spPr>
      <a:ln w="9525" cap="flat" cmpd="sng" algn="ctr">
        <a:solidFill>
          <a:schemeClr val="dk1">
            <a:lumMod val="15000"/>
            <a:lumOff val="85000"/>
          </a:schemeClr>
        </a:solidFill>
        <a:round/>
      </a:ln>
    </cs:spPr>
    <cs:defRPr sz="900" kern="1200"/>
  </cs:seriesAxis>
  <cs:seriesLine>
    <cs:lnRef idx="0"/>
    <cs:fillRef idx="0"/>
    <cs:effectRef idx="0"/>
    <cs:fontRef idx="minor">
      <a:schemeClr val="dk1"/>
    </cs:fontRef>
    <cs:spPr>
      <a:ln w="9525">
        <a:solidFill>
          <a:schemeClr val="dk1">
            <a:lumMod val="35000"/>
            <a:lumOff val="65000"/>
          </a:schemeClr>
        </a:solidFill>
        <a:prstDash val="dash"/>
      </a:ln>
    </cs:spPr>
  </cs:seriesLine>
  <cs:title>
    <cs:lnRef idx="0"/>
    <cs:fillRef idx="0"/>
    <cs:effectRef idx="0"/>
    <cs:fontRef idx="minor">
      <a:schemeClr val="dk1">
        <a:lumMod val="50000"/>
        <a:lumOff val="50000"/>
      </a:schemeClr>
    </cs:fontRef>
    <cs:defRPr sz="1400" kern="1200" cap="none" spc="2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dk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65000"/>
        <a:lumOff val="35000"/>
      </a:schemeClr>
    </cs:fontRef>
    <cs:defRPr sz="900" kern="1200" spc="20" baseline="0"/>
  </cs:valueAxis>
  <cs:wall>
    <cs:lnRef idx="0"/>
    <cs:fillRef idx="0"/>
    <cs:effectRef idx="0"/>
    <cs:fontRef idx="minor">
      <a:schemeClr val="dk1"/>
    </cs:fontRef>
  </cs:wall>
</cs:chartStyle>
</file>

<file path=xl/charts/style4.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hyperlink" Target="#LAUNCHPAD!A1"/><Relationship Id="rId2" Type="http://schemas.openxmlformats.org/officeDocument/2006/relationships/hyperlink" Target="#'TB ANNUEL'!A1"/><Relationship Id="rId1" Type="http://schemas.openxmlformats.org/officeDocument/2006/relationships/hyperlink" Target="#'TB MENSUEL'!A1"/><Relationship Id="rId4" Type="http://schemas.openxmlformats.org/officeDocument/2006/relationships/hyperlink" Target="#OJ!A1"/></Relationships>
</file>

<file path=xl/drawings/_rels/drawing2.xml.rels><?xml version="1.0" encoding="UTF-8" standalone="yes"?>
<Relationships xmlns="http://schemas.openxmlformats.org/package/2006/relationships"><Relationship Id="rId3" Type="http://schemas.openxmlformats.org/officeDocument/2006/relationships/hyperlink" Target="#DETAILS!A1"/><Relationship Id="rId2" Type="http://schemas.openxmlformats.org/officeDocument/2006/relationships/hyperlink" Target="#'TB ANNUEL D'!A1"/><Relationship Id="rId1" Type="http://schemas.openxmlformats.org/officeDocument/2006/relationships/hyperlink" Target="#AJOUTER!A1"/></Relationships>
</file>

<file path=xl/drawings/_rels/drawing3.xml.rels><?xml version="1.0" encoding="UTF-8" standalone="yes"?>
<Relationships xmlns="http://schemas.openxmlformats.org/package/2006/relationships"><Relationship Id="rId3" Type="http://schemas.openxmlformats.org/officeDocument/2006/relationships/hyperlink" Target="#DETAILS!A1"/><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hyperlink" Target="#AJOUTER!A1"/></Relationships>
</file>

<file path=xl/drawings/_rels/drawing4.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hyperlink" Target="#'TB ANNUEL'!A1"/><Relationship Id="rId1" Type="http://schemas.openxmlformats.org/officeDocument/2006/relationships/hyperlink" Target="#AJOUTER!A1"/><Relationship Id="rId5" Type="http://schemas.openxmlformats.org/officeDocument/2006/relationships/hyperlink" Target="#DETAILS!A1"/><Relationship Id="rId4" Type="http://schemas.openxmlformats.org/officeDocument/2006/relationships/chart" Target="../charts/chart4.xml"/></Relationships>
</file>

<file path=xl/drawings/_rels/drawing5.xml.rels><?xml version="1.0" encoding="UTF-8" standalone="yes"?>
<Relationships xmlns="http://schemas.openxmlformats.org/package/2006/relationships"><Relationship Id="rId3" Type="http://schemas.openxmlformats.org/officeDocument/2006/relationships/hyperlink" Target="#'TB MENSUEL'!A1"/><Relationship Id="rId2" Type="http://schemas.openxmlformats.org/officeDocument/2006/relationships/hyperlink" Target="#AJOUTER!A1"/><Relationship Id="rId1" Type="http://schemas.openxmlformats.org/officeDocument/2006/relationships/chart" Target="../charts/chart5.xml"/></Relationships>
</file>

<file path=xl/drawings/_rels/drawing6.xml.rels><?xml version="1.0" encoding="UTF-8" standalone="yes"?>
<Relationships xmlns="http://schemas.openxmlformats.org/package/2006/relationships"><Relationship Id="rId1" Type="http://schemas.openxmlformats.org/officeDocument/2006/relationships/hyperlink" Target="#AJOUTER!A1"/></Relationships>
</file>

<file path=xl/drawings/_rels/drawing7.xml.rels><?xml version="1.0" encoding="UTF-8" standalone="yes"?>
<Relationships xmlns="http://schemas.openxmlformats.org/package/2006/relationships"><Relationship Id="rId1" Type="http://schemas.openxmlformats.org/officeDocument/2006/relationships/hyperlink" Target="#AJOUTER!A1"/></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1019175</xdr:colOff>
          <xdr:row>14</xdr:row>
          <xdr:rowOff>104775</xdr:rowOff>
        </xdr:from>
        <xdr:to>
          <xdr:col>5</xdr:col>
          <xdr:colOff>866775</xdr:colOff>
          <xdr:row>17</xdr:row>
          <xdr:rowOff>0</xdr:rowOff>
        </xdr:to>
        <xdr:sp macro="" textlink="">
          <xdr:nvSpPr>
            <xdr:cNvPr id="3077" name="Button 5" hidden="1">
              <a:extLst>
                <a:ext uri="{63B3BB69-23CF-44E3-9099-C40C66FF867C}">
                  <a14:compatExt spid="_x0000_s3077"/>
                </a:ext>
                <a:ext uri="{FF2B5EF4-FFF2-40B4-BE49-F238E27FC236}">
                  <a16:creationId xmlns:a16="http://schemas.microsoft.com/office/drawing/2014/main" id="{00000000-0008-0000-0000-000005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a:t>
              </a:r>
            </a:p>
          </xdr:txBody>
        </xdr:sp>
        <xdr:clientData fPrintsWithSheet="0"/>
      </xdr:twoCellAnchor>
    </mc:Choice>
    <mc:Fallback/>
  </mc:AlternateContent>
  <xdr:twoCellAnchor>
    <xdr:from>
      <xdr:col>10</xdr:col>
      <xdr:colOff>594826</xdr:colOff>
      <xdr:row>7</xdr:row>
      <xdr:rowOff>81953</xdr:rowOff>
    </xdr:from>
    <xdr:to>
      <xdr:col>12</xdr:col>
      <xdr:colOff>1314061</xdr:colOff>
      <xdr:row>8</xdr:row>
      <xdr:rowOff>293223</xdr:rowOff>
    </xdr:to>
    <xdr:sp macro="" textlink="">
      <xdr:nvSpPr>
        <xdr:cNvPr id="2" name="Rectangle à coins arrondis 1">
          <a:hlinkClick xmlns:r="http://schemas.openxmlformats.org/officeDocument/2006/relationships" r:id="rId1"/>
          <a:extLst>
            <a:ext uri="{FF2B5EF4-FFF2-40B4-BE49-F238E27FC236}">
              <a16:creationId xmlns:a16="http://schemas.microsoft.com/office/drawing/2014/main" id="{00000000-0008-0000-0000-000002000000}"/>
            </a:ext>
          </a:extLst>
        </xdr:cNvPr>
        <xdr:cNvSpPr/>
      </xdr:nvSpPr>
      <xdr:spPr>
        <a:xfrm>
          <a:off x="9248969" y="1905310"/>
          <a:ext cx="2243235" cy="415377"/>
        </a:xfrm>
        <a:prstGeom prst="round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marL="0" indent="0" algn="ctr"/>
          <a:r>
            <a:rPr lang="fr-FR" sz="1400">
              <a:solidFill>
                <a:schemeClr val="dk1"/>
              </a:solidFill>
              <a:latin typeface="Gill Sans MT" panose="020B0502020104020203" pitchFamily="34" charset="0"/>
              <a:ea typeface="+mn-ea"/>
              <a:cs typeface="+mn-cs"/>
            </a:rPr>
            <a:t>Tableau de Bord Mensuel</a:t>
          </a:r>
        </a:p>
      </xdr:txBody>
    </xdr:sp>
    <xdr:clientData/>
  </xdr:twoCellAnchor>
  <xdr:twoCellAnchor>
    <xdr:from>
      <xdr:col>10</xdr:col>
      <xdr:colOff>622041</xdr:colOff>
      <xdr:row>10</xdr:row>
      <xdr:rowOff>33186</xdr:rowOff>
    </xdr:from>
    <xdr:to>
      <xdr:col>12</xdr:col>
      <xdr:colOff>1341276</xdr:colOff>
      <xdr:row>11</xdr:row>
      <xdr:rowOff>171979</xdr:rowOff>
    </xdr:to>
    <xdr:sp macro="" textlink="">
      <xdr:nvSpPr>
        <xdr:cNvPr id="6" name="Rectangle à coins arrondis 5">
          <a:hlinkClick xmlns:r="http://schemas.openxmlformats.org/officeDocument/2006/relationships" r:id="rId2"/>
          <a:extLst>
            <a:ext uri="{FF2B5EF4-FFF2-40B4-BE49-F238E27FC236}">
              <a16:creationId xmlns:a16="http://schemas.microsoft.com/office/drawing/2014/main" id="{00000000-0008-0000-0000-000006000000}"/>
            </a:ext>
          </a:extLst>
        </xdr:cNvPr>
        <xdr:cNvSpPr/>
      </xdr:nvSpPr>
      <xdr:spPr>
        <a:xfrm>
          <a:off x="9276184" y="2564115"/>
          <a:ext cx="2243235" cy="438150"/>
        </a:xfrm>
        <a:prstGeom prst="roundRect">
          <a:avLst/>
        </a:prstGeom>
      </xdr:spPr>
      <xdr:style>
        <a:lnRef idx="2">
          <a:schemeClr val="accent3"/>
        </a:lnRef>
        <a:fillRef idx="1">
          <a:schemeClr val="lt1"/>
        </a:fillRef>
        <a:effectRef idx="0">
          <a:schemeClr val="accent3"/>
        </a:effectRef>
        <a:fontRef idx="minor">
          <a:schemeClr val="dk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400">
              <a:solidFill>
                <a:schemeClr val="dk1"/>
              </a:solidFill>
              <a:latin typeface="Gill Sans MT" panose="020B0502020104020203" pitchFamily="34" charset="0"/>
              <a:ea typeface="+mn-ea"/>
              <a:cs typeface="+mn-cs"/>
            </a:rPr>
            <a:t>Tableau de Bord Annuel</a:t>
          </a:r>
        </a:p>
      </xdr:txBody>
    </xdr:sp>
    <xdr:clientData/>
  </xdr:twoCellAnchor>
  <xdr:twoCellAnchor>
    <xdr:from>
      <xdr:col>10</xdr:col>
      <xdr:colOff>631759</xdr:colOff>
      <xdr:row>4</xdr:row>
      <xdr:rowOff>68077</xdr:rowOff>
    </xdr:from>
    <xdr:to>
      <xdr:col>12</xdr:col>
      <xdr:colOff>1350994</xdr:colOff>
      <xdr:row>6</xdr:row>
      <xdr:rowOff>210498</xdr:rowOff>
    </xdr:to>
    <xdr:sp macro="" textlink="">
      <xdr:nvSpPr>
        <xdr:cNvPr id="7" name="Rectangle à coins arrondis 6">
          <a:hlinkClick xmlns:r="http://schemas.openxmlformats.org/officeDocument/2006/relationships" r:id="rId3"/>
          <a:extLst>
            <a:ext uri="{FF2B5EF4-FFF2-40B4-BE49-F238E27FC236}">
              <a16:creationId xmlns:a16="http://schemas.microsoft.com/office/drawing/2014/main" id="{00000000-0008-0000-0000-000007000000}"/>
            </a:ext>
          </a:extLst>
        </xdr:cNvPr>
        <xdr:cNvSpPr/>
      </xdr:nvSpPr>
      <xdr:spPr>
        <a:xfrm>
          <a:off x="9528815" y="1189910"/>
          <a:ext cx="2313790" cy="530477"/>
        </a:xfrm>
        <a:prstGeom prst="roundRect">
          <a:avLst/>
        </a:prstGeom>
      </xdr:spPr>
      <xdr:style>
        <a:lnRef idx="2">
          <a:schemeClr val="accent3"/>
        </a:lnRef>
        <a:fillRef idx="1">
          <a:schemeClr val="lt1"/>
        </a:fillRef>
        <a:effectRef idx="0">
          <a:schemeClr val="accent3"/>
        </a:effectRef>
        <a:fontRef idx="minor">
          <a:schemeClr val="dk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400">
              <a:solidFill>
                <a:schemeClr val="dk1"/>
              </a:solidFill>
              <a:latin typeface="Gill Sans MT" panose="020B0502020104020203" pitchFamily="34" charset="0"/>
              <a:ea typeface="+mn-ea"/>
              <a:cs typeface="+mn-cs"/>
            </a:rPr>
            <a:t>THE</a:t>
          </a:r>
          <a:r>
            <a:rPr lang="fr-FR" sz="1400" baseline="0">
              <a:solidFill>
                <a:schemeClr val="dk1"/>
              </a:solidFill>
              <a:latin typeface="Gill Sans MT" panose="020B0502020104020203" pitchFamily="34" charset="0"/>
              <a:ea typeface="+mn-ea"/>
              <a:cs typeface="+mn-cs"/>
            </a:rPr>
            <a:t> </a:t>
          </a:r>
          <a:r>
            <a:rPr lang="fr-FR" sz="1400">
              <a:solidFill>
                <a:schemeClr val="dk1"/>
              </a:solidFill>
              <a:latin typeface="Gill Sans MT" panose="020B0502020104020203" pitchFamily="34" charset="0"/>
              <a:ea typeface="+mn-ea"/>
              <a:cs typeface="+mn-cs"/>
            </a:rPr>
            <a:t>LAUNCHPAD</a:t>
          </a:r>
        </a:p>
      </xdr:txBody>
    </xdr:sp>
    <xdr:clientData/>
  </xdr:twoCellAnchor>
  <xdr:twoCellAnchor>
    <xdr:from>
      <xdr:col>10</xdr:col>
      <xdr:colOff>635647</xdr:colOff>
      <xdr:row>12</xdr:row>
      <xdr:rowOff>288596</xdr:rowOff>
    </xdr:from>
    <xdr:to>
      <xdr:col>12</xdr:col>
      <xdr:colOff>1354882</xdr:colOff>
      <xdr:row>15</xdr:row>
      <xdr:rowOff>37915</xdr:rowOff>
    </xdr:to>
    <xdr:sp macro="" textlink="">
      <xdr:nvSpPr>
        <xdr:cNvPr id="8" name="Rectangle à coins arrondis 7">
          <a:hlinkClick xmlns:r="http://schemas.openxmlformats.org/officeDocument/2006/relationships" r:id="rId4"/>
          <a:extLst>
            <a:ext uri="{FF2B5EF4-FFF2-40B4-BE49-F238E27FC236}">
              <a16:creationId xmlns:a16="http://schemas.microsoft.com/office/drawing/2014/main" id="{00000000-0008-0000-0000-000008000000}"/>
            </a:ext>
          </a:extLst>
        </xdr:cNvPr>
        <xdr:cNvSpPr/>
      </xdr:nvSpPr>
      <xdr:spPr>
        <a:xfrm>
          <a:off x="9289790" y="3322989"/>
          <a:ext cx="2243235" cy="429676"/>
        </a:xfrm>
        <a:prstGeom prst="roundRect">
          <a:avLst/>
        </a:prstGeom>
      </xdr:spPr>
      <xdr:style>
        <a:lnRef idx="2">
          <a:schemeClr val="accent3"/>
        </a:lnRef>
        <a:fillRef idx="1">
          <a:schemeClr val="lt1"/>
        </a:fillRef>
        <a:effectRef idx="0">
          <a:schemeClr val="accent3"/>
        </a:effectRef>
        <a:fontRef idx="minor">
          <a:schemeClr val="dk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400">
              <a:solidFill>
                <a:schemeClr val="dk1"/>
              </a:solidFill>
              <a:latin typeface="Gill Sans MT" panose="020B0502020104020203" pitchFamily="34" charset="0"/>
              <a:ea typeface="+mn-ea"/>
              <a:cs typeface="+mn-cs"/>
            </a:rPr>
            <a:t>Opérations Journalières</a:t>
          </a:r>
        </a:p>
      </xdr:txBody>
    </xdr:sp>
    <xdr:clientData/>
  </xdr:twoCellAnchor>
  <xdr:twoCellAnchor>
    <xdr:from>
      <xdr:col>13</xdr:col>
      <xdr:colOff>641479</xdr:colOff>
      <xdr:row>19</xdr:row>
      <xdr:rowOff>19439</xdr:rowOff>
    </xdr:from>
    <xdr:to>
      <xdr:col>19</xdr:col>
      <xdr:colOff>184667</xdr:colOff>
      <xdr:row>20</xdr:row>
      <xdr:rowOff>116633</xdr:rowOff>
    </xdr:to>
    <xdr:sp macro="[0]!Enregistrer" textlink="">
      <xdr:nvSpPr>
        <xdr:cNvPr id="9" name="Rectangle à coins arrondis 8">
          <a:extLst>
            <a:ext uri="{FF2B5EF4-FFF2-40B4-BE49-F238E27FC236}">
              <a16:creationId xmlns:a16="http://schemas.microsoft.com/office/drawing/2014/main" id="{00000000-0008-0000-0000-000009000000}"/>
            </a:ext>
          </a:extLst>
        </xdr:cNvPr>
        <xdr:cNvSpPr/>
      </xdr:nvSpPr>
      <xdr:spPr>
        <a:xfrm>
          <a:off x="12625484" y="5209592"/>
          <a:ext cx="2235459" cy="291582"/>
        </a:xfrm>
        <a:prstGeom prst="roundRect">
          <a:avLst>
            <a:gd name="adj" fmla="val 50000"/>
          </a:avLst>
        </a:prstGeom>
      </xdr:spPr>
      <xdr:style>
        <a:lnRef idx="2">
          <a:schemeClr val="accent3"/>
        </a:lnRef>
        <a:fillRef idx="1">
          <a:schemeClr val="lt1"/>
        </a:fillRef>
        <a:effectRef idx="0">
          <a:schemeClr val="accent3"/>
        </a:effectRef>
        <a:fontRef idx="minor">
          <a:schemeClr val="dk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400">
              <a:solidFill>
                <a:schemeClr val="dk1"/>
              </a:solidFill>
              <a:latin typeface="Gill Sans MT" panose="020B0502020104020203" pitchFamily="34" charset="0"/>
              <a:ea typeface="+mn-ea"/>
              <a:cs typeface="+mn-cs"/>
            </a:rPr>
            <a:t>Enregistrer</a:t>
          </a:r>
        </a:p>
      </xdr:txBody>
    </xdr:sp>
    <xdr:clientData/>
  </xdr:twoCellAnchor>
  <xdr:twoCellAnchor>
    <xdr:from>
      <xdr:col>8</xdr:col>
      <xdr:colOff>447092</xdr:colOff>
      <xdr:row>0</xdr:row>
      <xdr:rowOff>58317</xdr:rowOff>
    </xdr:from>
    <xdr:to>
      <xdr:col>8</xdr:col>
      <xdr:colOff>670638</xdr:colOff>
      <xdr:row>1</xdr:row>
      <xdr:rowOff>97194</xdr:rowOff>
    </xdr:to>
    <xdr:sp macro="[0]!VIDER" textlink="">
      <xdr:nvSpPr>
        <xdr:cNvPr id="5" name="Étoile à 4 branches 4">
          <a:extLst>
            <a:ext uri="{FF2B5EF4-FFF2-40B4-BE49-F238E27FC236}">
              <a16:creationId xmlns:a16="http://schemas.microsoft.com/office/drawing/2014/main" id="{00000000-0008-0000-0000-000005000000}"/>
            </a:ext>
          </a:extLst>
        </xdr:cNvPr>
        <xdr:cNvSpPr/>
      </xdr:nvSpPr>
      <xdr:spPr>
        <a:xfrm>
          <a:off x="7969898" y="58317"/>
          <a:ext cx="223546" cy="233265"/>
        </a:xfrm>
        <a:prstGeom prst="star4">
          <a:avLst/>
        </a:prstGeom>
      </xdr:spPr>
      <xdr:style>
        <a:lnRef idx="1">
          <a:schemeClr val="accent5"/>
        </a:lnRef>
        <a:fillRef idx="3">
          <a:schemeClr val="accent5"/>
        </a:fillRef>
        <a:effectRef idx="2">
          <a:schemeClr val="accent5"/>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641479</xdr:colOff>
      <xdr:row>16</xdr:row>
      <xdr:rowOff>165230</xdr:rowOff>
    </xdr:from>
    <xdr:to>
      <xdr:col>19</xdr:col>
      <xdr:colOff>184667</xdr:colOff>
      <xdr:row>18</xdr:row>
      <xdr:rowOff>68037</xdr:rowOff>
    </xdr:to>
    <xdr:sp macro="" textlink="">
      <xdr:nvSpPr>
        <xdr:cNvPr id="10" name="Rectangle à coins arrondis 9">
          <a:hlinkClick xmlns:r="http://schemas.openxmlformats.org/officeDocument/2006/relationships" r:id="rId4"/>
          <a:extLst>
            <a:ext uri="{FF2B5EF4-FFF2-40B4-BE49-F238E27FC236}">
              <a16:creationId xmlns:a16="http://schemas.microsoft.com/office/drawing/2014/main" id="{00000000-0008-0000-0000-00000A000000}"/>
            </a:ext>
          </a:extLst>
        </xdr:cNvPr>
        <xdr:cNvSpPr/>
      </xdr:nvSpPr>
      <xdr:spPr>
        <a:xfrm>
          <a:off x="12625484" y="4772220"/>
          <a:ext cx="2527040" cy="291582"/>
        </a:xfrm>
        <a:prstGeom prst="roundRect">
          <a:avLst>
            <a:gd name="adj" fmla="val 50000"/>
          </a:avLst>
        </a:prstGeom>
      </xdr:spPr>
      <xdr:style>
        <a:lnRef idx="2">
          <a:schemeClr val="accent3"/>
        </a:lnRef>
        <a:fillRef idx="1">
          <a:schemeClr val="lt1"/>
        </a:fillRef>
        <a:effectRef idx="0">
          <a:schemeClr val="accent3"/>
        </a:effectRef>
        <a:fontRef idx="minor">
          <a:schemeClr val="dk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fr-FR" sz="1400">
              <a:solidFill>
                <a:schemeClr val="dk1"/>
              </a:solidFill>
              <a:latin typeface="Gill Sans MT" panose="020B0502020104020203" pitchFamily="34" charset="0"/>
              <a:ea typeface="+mn-ea"/>
              <a:cs typeface="+mn-cs"/>
            </a:rPr>
            <a:t>Re-Commencer</a:t>
          </a:r>
        </a:p>
      </xdr:txBody>
    </xdr:sp>
    <xdr:clientData/>
  </xdr:twoCellAnchor>
  <mc:AlternateContent xmlns:mc="http://schemas.openxmlformats.org/markup-compatibility/2006">
    <mc:Choice xmlns:a14="http://schemas.microsoft.com/office/drawing/2010/main" Requires="a14">
      <xdr:twoCellAnchor>
        <xdr:from>
          <xdr:col>6</xdr:col>
          <xdr:colOff>295275</xdr:colOff>
          <xdr:row>5</xdr:row>
          <xdr:rowOff>76200</xdr:rowOff>
        </xdr:from>
        <xdr:to>
          <xdr:col>8</xdr:col>
          <xdr:colOff>466725</xdr:colOff>
          <xdr:row>8</xdr:row>
          <xdr:rowOff>257175</xdr:rowOff>
        </xdr:to>
        <xdr:sp macro="" textlink="">
          <xdr:nvSpPr>
            <xdr:cNvPr id="3082" name="Button 10" hidden="1">
              <a:extLst>
                <a:ext uri="{63B3BB69-23CF-44E3-9099-C40C66FF867C}">
                  <a14:compatExt spid="_x0000_s3082"/>
                </a:ext>
                <a:ext uri="{FF2B5EF4-FFF2-40B4-BE49-F238E27FC236}">
                  <a16:creationId xmlns:a16="http://schemas.microsoft.com/office/drawing/2014/main" id="{00000000-0008-0000-0000-00000A0C0000}"/>
                </a:ext>
              </a:extLst>
            </xdr:cNvPr>
            <xdr:cNvSpPr/>
          </xdr:nvSpPr>
          <xdr:spPr bwMode="auto">
            <a:xfrm>
              <a:off x="0" y="0"/>
              <a:ext cx="0" cy="0"/>
            </a:xfrm>
            <a:prstGeom prst="rect">
              <a:avLst/>
            </a:prstGeom>
            <a:noFill/>
            <a:ln w="9525">
              <a:miter lim="800000"/>
              <a:headEnd/>
              <a:tailEnd/>
            </a:ln>
          </xdr:spPr>
          <xdr:txBody>
            <a:bodyPr vertOverflow="clip" wrap="square" lIns="27432" tIns="41148" rIns="27432" bIns="41148" anchor="ctr" upright="1"/>
            <a:lstStyle/>
            <a:p>
              <a:pPr algn="ctr" rtl="0">
                <a:defRPr sz="1000"/>
              </a:pPr>
              <a:r>
                <a:rPr lang="fr-FR" sz="1400" b="0" i="0" u="none" strike="noStrike" baseline="0">
                  <a:solidFill>
                    <a:srgbClr val="000000"/>
                  </a:solidFill>
                  <a:latin typeface="Gill Sans MT"/>
                </a:rPr>
                <a:t>Mettre  la Date d'aujourd'hui</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6</xdr:col>
      <xdr:colOff>190500</xdr:colOff>
      <xdr:row>0</xdr:row>
      <xdr:rowOff>0</xdr:rowOff>
    </xdr:from>
    <xdr:to>
      <xdr:col>13</xdr:col>
      <xdr:colOff>990595</xdr:colOff>
      <xdr:row>1</xdr:row>
      <xdr:rowOff>473816</xdr:rowOff>
    </xdr:to>
    <xdr:sp macro="" textlink="">
      <xdr:nvSpPr>
        <xdr:cNvPr id="2" name="Illustration d’en-tête" descr="Tracés d’un arbre et d’une maison" title="Illustration Budget">
          <a:extLst>
            <a:ext uri="{FF2B5EF4-FFF2-40B4-BE49-F238E27FC236}">
              <a16:creationId xmlns:a16="http://schemas.microsoft.com/office/drawing/2014/main" id="{00000000-0008-0000-0100-000002000000}"/>
            </a:ext>
          </a:extLst>
        </xdr:cNvPr>
        <xdr:cNvSpPr>
          <a:spLocks noChangeAspect="1" noEditPoints="1"/>
        </xdr:cNvSpPr>
      </xdr:nvSpPr>
      <xdr:spPr bwMode="auto">
        <a:xfrm>
          <a:off x="5591175" y="0"/>
          <a:ext cx="6315070" cy="588116"/>
        </a:xfrm>
        <a:custGeom>
          <a:avLst/>
          <a:gdLst>
            <a:gd name="T0" fmla="*/ 1465 w 1650"/>
            <a:gd name="T1" fmla="*/ 151 h 173"/>
            <a:gd name="T2" fmla="*/ 1448 w 1650"/>
            <a:gd name="T3" fmla="*/ 156 h 173"/>
            <a:gd name="T4" fmla="*/ 1454 w 1650"/>
            <a:gd name="T5" fmla="*/ 139 h 173"/>
            <a:gd name="T6" fmla="*/ 1424 w 1650"/>
            <a:gd name="T7" fmla="*/ 164 h 173"/>
            <a:gd name="T8" fmla="*/ 1422 w 1650"/>
            <a:gd name="T9" fmla="*/ 105 h 173"/>
            <a:gd name="T10" fmla="*/ 1348 w 1650"/>
            <a:gd name="T11" fmla="*/ 39 h 173"/>
            <a:gd name="T12" fmla="*/ 1200 w 1650"/>
            <a:gd name="T13" fmla="*/ 80 h 173"/>
            <a:gd name="T14" fmla="*/ 1175 w 1650"/>
            <a:gd name="T15" fmla="*/ 116 h 173"/>
            <a:gd name="T16" fmla="*/ 1188 w 1650"/>
            <a:gd name="T17" fmla="*/ 165 h 173"/>
            <a:gd name="T18" fmla="*/ 1127 w 1650"/>
            <a:gd name="T19" fmla="*/ 153 h 173"/>
            <a:gd name="T20" fmla="*/ 1126 w 1650"/>
            <a:gd name="T21" fmla="*/ 136 h 173"/>
            <a:gd name="T22" fmla="*/ 1128 w 1650"/>
            <a:gd name="T23" fmla="*/ 127 h 173"/>
            <a:gd name="T24" fmla="*/ 1123 w 1650"/>
            <a:gd name="T25" fmla="*/ 110 h 173"/>
            <a:gd name="T26" fmla="*/ 1108 w 1650"/>
            <a:gd name="T27" fmla="*/ 85 h 173"/>
            <a:gd name="T28" fmla="*/ 1110 w 1650"/>
            <a:gd name="T29" fmla="*/ 72 h 173"/>
            <a:gd name="T30" fmla="*/ 1092 w 1650"/>
            <a:gd name="T31" fmla="*/ 38 h 173"/>
            <a:gd name="T32" fmla="*/ 1085 w 1650"/>
            <a:gd name="T33" fmla="*/ 32 h 173"/>
            <a:gd name="T34" fmla="*/ 1078 w 1650"/>
            <a:gd name="T35" fmla="*/ 12 h 173"/>
            <a:gd name="T36" fmla="*/ 1071 w 1650"/>
            <a:gd name="T37" fmla="*/ 13 h 173"/>
            <a:gd name="T38" fmla="*/ 1057 w 1650"/>
            <a:gd name="T39" fmla="*/ 36 h 173"/>
            <a:gd name="T40" fmla="*/ 1058 w 1650"/>
            <a:gd name="T41" fmla="*/ 44 h 173"/>
            <a:gd name="T42" fmla="*/ 1040 w 1650"/>
            <a:gd name="T43" fmla="*/ 72 h 173"/>
            <a:gd name="T44" fmla="*/ 1041 w 1650"/>
            <a:gd name="T45" fmla="*/ 80 h 173"/>
            <a:gd name="T46" fmla="*/ 1036 w 1650"/>
            <a:gd name="T47" fmla="*/ 100 h 173"/>
            <a:gd name="T48" fmla="*/ 1031 w 1650"/>
            <a:gd name="T49" fmla="*/ 106 h 173"/>
            <a:gd name="T50" fmla="*/ 1028 w 1650"/>
            <a:gd name="T51" fmla="*/ 133 h 173"/>
            <a:gd name="T52" fmla="*/ 1022 w 1650"/>
            <a:gd name="T53" fmla="*/ 149 h 173"/>
            <a:gd name="T54" fmla="*/ 534 w 1650"/>
            <a:gd name="T55" fmla="*/ 125 h 173"/>
            <a:gd name="T56" fmla="*/ 467 w 1650"/>
            <a:gd name="T57" fmla="*/ 128 h 173"/>
            <a:gd name="T58" fmla="*/ 1042 w 1650"/>
            <a:gd name="T59" fmla="*/ 148 h 173"/>
            <a:gd name="T60" fmla="*/ 1034 w 1650"/>
            <a:gd name="T61" fmla="*/ 134 h 173"/>
            <a:gd name="T62" fmla="*/ 1038 w 1650"/>
            <a:gd name="T63" fmla="*/ 107 h 173"/>
            <a:gd name="T64" fmla="*/ 1043 w 1650"/>
            <a:gd name="T65" fmla="*/ 102 h 173"/>
            <a:gd name="T66" fmla="*/ 1050 w 1650"/>
            <a:gd name="T67" fmla="*/ 80 h 173"/>
            <a:gd name="T68" fmla="*/ 1048 w 1650"/>
            <a:gd name="T69" fmla="*/ 71 h 173"/>
            <a:gd name="T70" fmla="*/ 1065 w 1650"/>
            <a:gd name="T71" fmla="*/ 44 h 173"/>
            <a:gd name="T72" fmla="*/ 1065 w 1650"/>
            <a:gd name="T73" fmla="*/ 36 h 173"/>
            <a:gd name="T74" fmla="*/ 1078 w 1650"/>
            <a:gd name="T75" fmla="*/ 25 h 173"/>
            <a:gd name="T76" fmla="*/ 1084 w 1650"/>
            <a:gd name="T77" fmla="*/ 38 h 173"/>
            <a:gd name="T78" fmla="*/ 1104 w 1650"/>
            <a:gd name="T79" fmla="*/ 75 h 173"/>
            <a:gd name="T80" fmla="*/ 1103 w 1650"/>
            <a:gd name="T81" fmla="*/ 87 h 173"/>
            <a:gd name="T82" fmla="*/ 1114 w 1650"/>
            <a:gd name="T83" fmla="*/ 117 h 173"/>
            <a:gd name="T84" fmla="*/ 1122 w 1650"/>
            <a:gd name="T85" fmla="*/ 128 h 173"/>
            <a:gd name="T86" fmla="*/ 1124 w 1650"/>
            <a:gd name="T87" fmla="*/ 147 h 173"/>
            <a:gd name="T88" fmla="*/ 1129 w 1650"/>
            <a:gd name="T89" fmla="*/ 169 h 173"/>
            <a:gd name="T90" fmla="*/ 1197 w 1650"/>
            <a:gd name="T91" fmla="*/ 169 h 173"/>
            <a:gd name="T92" fmla="*/ 1186 w 1650"/>
            <a:gd name="T93" fmla="*/ 108 h 173"/>
            <a:gd name="T94" fmla="*/ 1274 w 1650"/>
            <a:gd name="T95" fmla="*/ 21 h 173"/>
            <a:gd name="T96" fmla="*/ 1403 w 1650"/>
            <a:gd name="T97" fmla="*/ 102 h 173"/>
            <a:gd name="T98" fmla="*/ 1388 w 1650"/>
            <a:gd name="T99" fmla="*/ 118 h 173"/>
            <a:gd name="T100" fmla="*/ 1319 w 1650"/>
            <a:gd name="T101" fmla="*/ 162 h 173"/>
            <a:gd name="T102" fmla="*/ 1264 w 1650"/>
            <a:gd name="T103" fmla="*/ 170 h 173"/>
            <a:gd name="T104" fmla="*/ 1398 w 1650"/>
            <a:gd name="T105" fmla="*/ 170 h 173"/>
            <a:gd name="T106" fmla="*/ 1436 w 1650"/>
            <a:gd name="T107" fmla="*/ 157 h 173"/>
            <a:gd name="T108" fmla="*/ 1443 w 1650"/>
            <a:gd name="T109" fmla="*/ 163 h 173"/>
            <a:gd name="T110" fmla="*/ 1456 w 1650"/>
            <a:gd name="T111" fmla="*/ 166 h 173"/>
            <a:gd name="T112" fmla="*/ 1045 w 1650"/>
            <a:gd name="T113" fmla="*/ 74 h 173"/>
            <a:gd name="T114" fmla="*/ 1084 w 1650"/>
            <a:gd name="T115" fmla="*/ 30 h 173"/>
            <a:gd name="T116" fmla="*/ 1123 w 1650"/>
            <a:gd name="T117" fmla="*/ 130 h 173"/>
            <a:gd name="T118" fmla="*/ 1314 w 1650"/>
            <a:gd name="T119" fmla="*/ 165 h 17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Lst>
          <a:rect l="0" t="0" r="r" b="b"/>
          <a:pathLst>
            <a:path w="1650" h="173">
              <a:moveTo>
                <a:pt x="1535" y="157"/>
              </a:moveTo>
              <a:cubicBezTo>
                <a:pt x="1526" y="157"/>
                <a:pt x="1516" y="157"/>
                <a:pt x="1506" y="158"/>
              </a:cubicBezTo>
              <a:cubicBezTo>
                <a:pt x="1497" y="159"/>
                <a:pt x="1487" y="160"/>
                <a:pt x="1478" y="162"/>
              </a:cubicBezTo>
              <a:cubicBezTo>
                <a:pt x="1473" y="163"/>
                <a:pt x="1468" y="164"/>
                <a:pt x="1464" y="165"/>
              </a:cubicBezTo>
              <a:cubicBezTo>
                <a:pt x="1461" y="165"/>
                <a:pt x="1459" y="165"/>
                <a:pt x="1458" y="164"/>
              </a:cubicBezTo>
              <a:cubicBezTo>
                <a:pt x="1458" y="163"/>
                <a:pt x="1458" y="163"/>
                <a:pt x="1459" y="162"/>
              </a:cubicBezTo>
              <a:cubicBezTo>
                <a:pt x="1459" y="161"/>
                <a:pt x="1460" y="160"/>
                <a:pt x="1460" y="159"/>
              </a:cubicBezTo>
              <a:cubicBezTo>
                <a:pt x="1464" y="153"/>
                <a:pt x="1464" y="153"/>
                <a:pt x="1464" y="153"/>
              </a:cubicBezTo>
              <a:cubicBezTo>
                <a:pt x="1464" y="152"/>
                <a:pt x="1464" y="151"/>
                <a:pt x="1465" y="151"/>
              </a:cubicBezTo>
              <a:cubicBezTo>
                <a:pt x="1465" y="150"/>
                <a:pt x="1465" y="150"/>
                <a:pt x="1465" y="150"/>
              </a:cubicBezTo>
              <a:cubicBezTo>
                <a:pt x="1465" y="149"/>
                <a:pt x="1465" y="149"/>
                <a:pt x="1465" y="148"/>
              </a:cubicBezTo>
              <a:cubicBezTo>
                <a:pt x="1464" y="146"/>
                <a:pt x="1463" y="146"/>
                <a:pt x="1462" y="146"/>
              </a:cubicBezTo>
              <a:cubicBezTo>
                <a:pt x="1462" y="146"/>
                <a:pt x="1461" y="147"/>
                <a:pt x="1461" y="147"/>
              </a:cubicBezTo>
              <a:cubicBezTo>
                <a:pt x="1460" y="147"/>
                <a:pt x="1460" y="148"/>
                <a:pt x="1459" y="148"/>
              </a:cubicBezTo>
              <a:cubicBezTo>
                <a:pt x="1455" y="151"/>
                <a:pt x="1452" y="155"/>
                <a:pt x="1448" y="158"/>
              </a:cubicBezTo>
              <a:cubicBezTo>
                <a:pt x="1448" y="158"/>
                <a:pt x="1447" y="159"/>
                <a:pt x="1446" y="159"/>
              </a:cubicBezTo>
              <a:cubicBezTo>
                <a:pt x="1446" y="159"/>
                <a:pt x="1446" y="159"/>
                <a:pt x="1447" y="159"/>
              </a:cubicBezTo>
              <a:cubicBezTo>
                <a:pt x="1447" y="158"/>
                <a:pt x="1448" y="157"/>
                <a:pt x="1448" y="156"/>
              </a:cubicBezTo>
              <a:cubicBezTo>
                <a:pt x="1451" y="152"/>
                <a:pt x="1454" y="149"/>
                <a:pt x="1457" y="144"/>
              </a:cubicBezTo>
              <a:cubicBezTo>
                <a:pt x="1457" y="144"/>
                <a:pt x="1458" y="143"/>
                <a:pt x="1458" y="142"/>
              </a:cubicBezTo>
              <a:cubicBezTo>
                <a:pt x="1458" y="141"/>
                <a:pt x="1458" y="140"/>
                <a:pt x="1457" y="140"/>
              </a:cubicBezTo>
              <a:cubicBezTo>
                <a:pt x="1457" y="139"/>
                <a:pt x="1456" y="139"/>
                <a:pt x="1456" y="139"/>
              </a:cubicBezTo>
              <a:cubicBezTo>
                <a:pt x="1455" y="139"/>
                <a:pt x="1455" y="139"/>
                <a:pt x="1455" y="139"/>
              </a:cubicBezTo>
              <a:cubicBezTo>
                <a:pt x="1455" y="139"/>
                <a:pt x="1455" y="139"/>
                <a:pt x="1455" y="139"/>
              </a:cubicBezTo>
              <a:cubicBezTo>
                <a:pt x="1455" y="139"/>
                <a:pt x="1455" y="139"/>
                <a:pt x="1455" y="139"/>
              </a:cubicBezTo>
              <a:cubicBezTo>
                <a:pt x="1455" y="139"/>
                <a:pt x="1455" y="139"/>
                <a:pt x="1455" y="139"/>
              </a:cubicBezTo>
              <a:cubicBezTo>
                <a:pt x="1454" y="139"/>
                <a:pt x="1455" y="139"/>
                <a:pt x="1454" y="139"/>
              </a:cubicBezTo>
              <a:cubicBezTo>
                <a:pt x="1454" y="139"/>
                <a:pt x="1454" y="139"/>
                <a:pt x="1454" y="139"/>
              </a:cubicBezTo>
              <a:cubicBezTo>
                <a:pt x="1453" y="139"/>
                <a:pt x="1451" y="139"/>
                <a:pt x="1450" y="140"/>
              </a:cubicBezTo>
              <a:cubicBezTo>
                <a:pt x="1448" y="141"/>
                <a:pt x="1446" y="142"/>
                <a:pt x="1444" y="144"/>
              </a:cubicBezTo>
              <a:cubicBezTo>
                <a:pt x="1440" y="147"/>
                <a:pt x="1436" y="150"/>
                <a:pt x="1433" y="154"/>
              </a:cubicBezTo>
              <a:cubicBezTo>
                <a:pt x="1431" y="156"/>
                <a:pt x="1429" y="158"/>
                <a:pt x="1428" y="160"/>
              </a:cubicBezTo>
              <a:cubicBezTo>
                <a:pt x="1426" y="162"/>
                <a:pt x="1426" y="162"/>
                <a:pt x="1426" y="162"/>
              </a:cubicBezTo>
              <a:cubicBezTo>
                <a:pt x="1424" y="164"/>
                <a:pt x="1424" y="164"/>
                <a:pt x="1424" y="164"/>
              </a:cubicBezTo>
              <a:cubicBezTo>
                <a:pt x="1424" y="164"/>
                <a:pt x="1424" y="164"/>
                <a:pt x="1424" y="164"/>
              </a:cubicBezTo>
              <a:cubicBezTo>
                <a:pt x="1424" y="164"/>
                <a:pt x="1424" y="164"/>
                <a:pt x="1424" y="164"/>
              </a:cubicBezTo>
              <a:cubicBezTo>
                <a:pt x="1423" y="164"/>
                <a:pt x="1420" y="164"/>
                <a:pt x="1418" y="164"/>
              </a:cubicBezTo>
              <a:cubicBezTo>
                <a:pt x="1411" y="164"/>
                <a:pt x="1411" y="164"/>
                <a:pt x="1411" y="164"/>
              </a:cubicBezTo>
              <a:cubicBezTo>
                <a:pt x="1398" y="164"/>
                <a:pt x="1398" y="164"/>
                <a:pt x="1398" y="164"/>
              </a:cubicBezTo>
              <a:cubicBezTo>
                <a:pt x="1396" y="149"/>
                <a:pt x="1395" y="133"/>
                <a:pt x="1394" y="118"/>
              </a:cubicBezTo>
              <a:cubicBezTo>
                <a:pt x="1394" y="112"/>
                <a:pt x="1394" y="112"/>
                <a:pt x="1394" y="112"/>
              </a:cubicBezTo>
              <a:cubicBezTo>
                <a:pt x="1394" y="110"/>
                <a:pt x="1394" y="110"/>
                <a:pt x="1394" y="110"/>
              </a:cubicBezTo>
              <a:cubicBezTo>
                <a:pt x="1397" y="109"/>
                <a:pt x="1401" y="109"/>
                <a:pt x="1404" y="108"/>
              </a:cubicBezTo>
              <a:cubicBezTo>
                <a:pt x="1408" y="108"/>
                <a:pt x="1412" y="107"/>
                <a:pt x="1416" y="106"/>
              </a:cubicBezTo>
              <a:cubicBezTo>
                <a:pt x="1418" y="106"/>
                <a:pt x="1420" y="105"/>
                <a:pt x="1422" y="105"/>
              </a:cubicBezTo>
              <a:cubicBezTo>
                <a:pt x="1422" y="104"/>
                <a:pt x="1423" y="104"/>
                <a:pt x="1424" y="104"/>
              </a:cubicBezTo>
              <a:cubicBezTo>
                <a:pt x="1424" y="104"/>
                <a:pt x="1424" y="104"/>
                <a:pt x="1425" y="103"/>
              </a:cubicBezTo>
              <a:cubicBezTo>
                <a:pt x="1425" y="103"/>
                <a:pt x="1426" y="102"/>
                <a:pt x="1426" y="102"/>
              </a:cubicBezTo>
              <a:cubicBezTo>
                <a:pt x="1426" y="101"/>
                <a:pt x="1426" y="100"/>
                <a:pt x="1426" y="100"/>
              </a:cubicBezTo>
              <a:cubicBezTo>
                <a:pt x="1426" y="98"/>
                <a:pt x="1425" y="98"/>
                <a:pt x="1425" y="97"/>
              </a:cubicBezTo>
              <a:cubicBezTo>
                <a:pt x="1424" y="97"/>
                <a:pt x="1424" y="96"/>
                <a:pt x="1424" y="96"/>
              </a:cubicBezTo>
              <a:cubicBezTo>
                <a:pt x="1417" y="90"/>
                <a:pt x="1411" y="86"/>
                <a:pt x="1405" y="81"/>
              </a:cubicBezTo>
              <a:cubicBezTo>
                <a:pt x="1398" y="77"/>
                <a:pt x="1392" y="72"/>
                <a:pt x="1386" y="67"/>
              </a:cubicBezTo>
              <a:cubicBezTo>
                <a:pt x="1374" y="58"/>
                <a:pt x="1361" y="49"/>
                <a:pt x="1348" y="39"/>
              </a:cubicBezTo>
              <a:cubicBezTo>
                <a:pt x="1336" y="31"/>
                <a:pt x="1326" y="18"/>
                <a:pt x="1313" y="8"/>
              </a:cubicBezTo>
              <a:cubicBezTo>
                <a:pt x="1310" y="6"/>
                <a:pt x="1307" y="4"/>
                <a:pt x="1303" y="2"/>
              </a:cubicBezTo>
              <a:cubicBezTo>
                <a:pt x="1298" y="0"/>
                <a:pt x="1293" y="1"/>
                <a:pt x="1289" y="2"/>
              </a:cubicBezTo>
              <a:cubicBezTo>
                <a:pt x="1281" y="6"/>
                <a:pt x="1275" y="12"/>
                <a:pt x="1269" y="17"/>
              </a:cubicBezTo>
              <a:cubicBezTo>
                <a:pt x="1267" y="20"/>
                <a:pt x="1264" y="23"/>
                <a:pt x="1261" y="25"/>
              </a:cubicBezTo>
              <a:cubicBezTo>
                <a:pt x="1253" y="33"/>
                <a:pt x="1253" y="33"/>
                <a:pt x="1253" y="33"/>
              </a:cubicBezTo>
              <a:cubicBezTo>
                <a:pt x="1235" y="49"/>
                <a:pt x="1235" y="49"/>
                <a:pt x="1235" y="49"/>
              </a:cubicBezTo>
              <a:cubicBezTo>
                <a:pt x="1218" y="64"/>
                <a:pt x="1218" y="64"/>
                <a:pt x="1218" y="64"/>
              </a:cubicBezTo>
              <a:cubicBezTo>
                <a:pt x="1212" y="70"/>
                <a:pt x="1206" y="75"/>
                <a:pt x="1200" y="80"/>
              </a:cubicBezTo>
              <a:cubicBezTo>
                <a:pt x="1194" y="85"/>
                <a:pt x="1188" y="90"/>
                <a:pt x="1182" y="95"/>
              </a:cubicBezTo>
              <a:cubicBezTo>
                <a:pt x="1179" y="98"/>
                <a:pt x="1176" y="100"/>
                <a:pt x="1174" y="103"/>
              </a:cubicBezTo>
              <a:cubicBezTo>
                <a:pt x="1172" y="105"/>
                <a:pt x="1171" y="106"/>
                <a:pt x="1169" y="108"/>
              </a:cubicBezTo>
              <a:cubicBezTo>
                <a:pt x="1169" y="109"/>
                <a:pt x="1169" y="109"/>
                <a:pt x="1168" y="110"/>
              </a:cubicBezTo>
              <a:cubicBezTo>
                <a:pt x="1168" y="111"/>
                <a:pt x="1168" y="111"/>
                <a:pt x="1168" y="113"/>
              </a:cubicBezTo>
              <a:cubicBezTo>
                <a:pt x="1169" y="113"/>
                <a:pt x="1170" y="114"/>
                <a:pt x="1169" y="114"/>
              </a:cubicBezTo>
              <a:cubicBezTo>
                <a:pt x="1169" y="114"/>
                <a:pt x="1170" y="115"/>
                <a:pt x="1170" y="115"/>
              </a:cubicBezTo>
              <a:cubicBezTo>
                <a:pt x="1170" y="115"/>
                <a:pt x="1170" y="115"/>
                <a:pt x="1170" y="115"/>
              </a:cubicBezTo>
              <a:cubicBezTo>
                <a:pt x="1172" y="116"/>
                <a:pt x="1173" y="116"/>
                <a:pt x="1175" y="116"/>
              </a:cubicBezTo>
              <a:cubicBezTo>
                <a:pt x="1179" y="116"/>
                <a:pt x="1183" y="115"/>
                <a:pt x="1187" y="114"/>
              </a:cubicBezTo>
              <a:cubicBezTo>
                <a:pt x="1188" y="114"/>
                <a:pt x="1190" y="114"/>
                <a:pt x="1191" y="114"/>
              </a:cubicBezTo>
              <a:cubicBezTo>
                <a:pt x="1191" y="114"/>
                <a:pt x="1191" y="114"/>
                <a:pt x="1192" y="115"/>
              </a:cubicBezTo>
              <a:cubicBezTo>
                <a:pt x="1192" y="115"/>
                <a:pt x="1192" y="115"/>
                <a:pt x="1192" y="115"/>
              </a:cubicBezTo>
              <a:cubicBezTo>
                <a:pt x="1192" y="115"/>
                <a:pt x="1192" y="116"/>
                <a:pt x="1192" y="117"/>
              </a:cubicBezTo>
              <a:cubicBezTo>
                <a:pt x="1194" y="123"/>
                <a:pt x="1194" y="131"/>
                <a:pt x="1194" y="139"/>
              </a:cubicBezTo>
              <a:cubicBezTo>
                <a:pt x="1194" y="147"/>
                <a:pt x="1194" y="155"/>
                <a:pt x="1193" y="162"/>
              </a:cubicBezTo>
              <a:cubicBezTo>
                <a:pt x="1193" y="163"/>
                <a:pt x="1193" y="164"/>
                <a:pt x="1193" y="164"/>
              </a:cubicBezTo>
              <a:cubicBezTo>
                <a:pt x="1191" y="165"/>
                <a:pt x="1190" y="165"/>
                <a:pt x="1188" y="165"/>
              </a:cubicBezTo>
              <a:cubicBezTo>
                <a:pt x="1184" y="165"/>
                <a:pt x="1180" y="164"/>
                <a:pt x="1176" y="164"/>
              </a:cubicBezTo>
              <a:cubicBezTo>
                <a:pt x="1172" y="164"/>
                <a:pt x="1169" y="164"/>
                <a:pt x="1165" y="164"/>
              </a:cubicBezTo>
              <a:cubicBezTo>
                <a:pt x="1153" y="164"/>
                <a:pt x="1153" y="164"/>
                <a:pt x="1153" y="164"/>
              </a:cubicBezTo>
              <a:cubicBezTo>
                <a:pt x="1130" y="163"/>
                <a:pt x="1130" y="163"/>
                <a:pt x="1130" y="163"/>
              </a:cubicBezTo>
              <a:cubicBezTo>
                <a:pt x="1086" y="162"/>
                <a:pt x="1086" y="162"/>
                <a:pt x="1086" y="162"/>
              </a:cubicBezTo>
              <a:cubicBezTo>
                <a:pt x="1085" y="155"/>
                <a:pt x="1085" y="155"/>
                <a:pt x="1085" y="155"/>
              </a:cubicBezTo>
              <a:cubicBezTo>
                <a:pt x="1108" y="154"/>
                <a:pt x="1108" y="154"/>
                <a:pt x="1108" y="154"/>
              </a:cubicBezTo>
              <a:cubicBezTo>
                <a:pt x="1121" y="154"/>
                <a:pt x="1121" y="154"/>
                <a:pt x="1121" y="154"/>
              </a:cubicBezTo>
              <a:cubicBezTo>
                <a:pt x="1123" y="154"/>
                <a:pt x="1125" y="153"/>
                <a:pt x="1127" y="153"/>
              </a:cubicBezTo>
              <a:cubicBezTo>
                <a:pt x="1128" y="153"/>
                <a:pt x="1128" y="153"/>
                <a:pt x="1128" y="153"/>
              </a:cubicBezTo>
              <a:cubicBezTo>
                <a:pt x="1128" y="153"/>
                <a:pt x="1128" y="153"/>
                <a:pt x="1128" y="153"/>
              </a:cubicBezTo>
              <a:cubicBezTo>
                <a:pt x="1128" y="153"/>
                <a:pt x="1129" y="153"/>
                <a:pt x="1130" y="152"/>
              </a:cubicBezTo>
              <a:cubicBezTo>
                <a:pt x="1131" y="151"/>
                <a:pt x="1130" y="153"/>
                <a:pt x="1131" y="150"/>
              </a:cubicBezTo>
              <a:cubicBezTo>
                <a:pt x="1131" y="149"/>
                <a:pt x="1131" y="149"/>
                <a:pt x="1131" y="149"/>
              </a:cubicBezTo>
              <a:cubicBezTo>
                <a:pt x="1130" y="148"/>
                <a:pt x="1130" y="147"/>
                <a:pt x="1130" y="147"/>
              </a:cubicBezTo>
              <a:cubicBezTo>
                <a:pt x="1130" y="146"/>
                <a:pt x="1129" y="144"/>
                <a:pt x="1129" y="143"/>
              </a:cubicBezTo>
              <a:cubicBezTo>
                <a:pt x="1128" y="141"/>
                <a:pt x="1127" y="140"/>
                <a:pt x="1127" y="138"/>
              </a:cubicBezTo>
              <a:cubicBezTo>
                <a:pt x="1126" y="136"/>
                <a:pt x="1126" y="136"/>
                <a:pt x="1126" y="136"/>
              </a:cubicBezTo>
              <a:cubicBezTo>
                <a:pt x="1126" y="136"/>
                <a:pt x="1126" y="136"/>
                <a:pt x="1126" y="136"/>
              </a:cubicBezTo>
              <a:cubicBezTo>
                <a:pt x="1126" y="136"/>
                <a:pt x="1126" y="135"/>
                <a:pt x="1127" y="134"/>
              </a:cubicBezTo>
              <a:cubicBezTo>
                <a:pt x="1127" y="133"/>
                <a:pt x="1128" y="132"/>
                <a:pt x="1129" y="130"/>
              </a:cubicBezTo>
              <a:cubicBezTo>
                <a:pt x="1129" y="130"/>
                <a:pt x="1129" y="129"/>
                <a:pt x="1129" y="129"/>
              </a:cubicBezTo>
              <a:cubicBezTo>
                <a:pt x="1129" y="129"/>
                <a:pt x="1129" y="129"/>
                <a:pt x="1129" y="129"/>
              </a:cubicBezTo>
              <a:cubicBezTo>
                <a:pt x="1128" y="128"/>
                <a:pt x="1129" y="128"/>
                <a:pt x="1129" y="128"/>
              </a:cubicBezTo>
              <a:cubicBezTo>
                <a:pt x="1128" y="128"/>
                <a:pt x="1128" y="128"/>
                <a:pt x="1128" y="128"/>
              </a:cubicBezTo>
              <a:cubicBezTo>
                <a:pt x="1128" y="128"/>
                <a:pt x="1128" y="128"/>
                <a:pt x="1128" y="128"/>
              </a:cubicBezTo>
              <a:cubicBezTo>
                <a:pt x="1128" y="127"/>
                <a:pt x="1128" y="127"/>
                <a:pt x="1128" y="127"/>
              </a:cubicBezTo>
              <a:cubicBezTo>
                <a:pt x="1128" y="126"/>
                <a:pt x="1127" y="126"/>
                <a:pt x="1127" y="125"/>
              </a:cubicBezTo>
              <a:cubicBezTo>
                <a:pt x="1125" y="123"/>
                <a:pt x="1125" y="123"/>
                <a:pt x="1125" y="123"/>
              </a:cubicBezTo>
              <a:cubicBezTo>
                <a:pt x="1125" y="122"/>
                <a:pt x="1125" y="122"/>
                <a:pt x="1125" y="121"/>
              </a:cubicBezTo>
              <a:cubicBezTo>
                <a:pt x="1124" y="121"/>
                <a:pt x="1125" y="121"/>
                <a:pt x="1124" y="120"/>
              </a:cubicBezTo>
              <a:cubicBezTo>
                <a:pt x="1123" y="118"/>
                <a:pt x="1122" y="117"/>
                <a:pt x="1121" y="117"/>
              </a:cubicBezTo>
              <a:cubicBezTo>
                <a:pt x="1121" y="116"/>
                <a:pt x="1121" y="116"/>
                <a:pt x="1120" y="116"/>
              </a:cubicBezTo>
              <a:cubicBezTo>
                <a:pt x="1121" y="116"/>
                <a:pt x="1121" y="116"/>
                <a:pt x="1121" y="115"/>
              </a:cubicBezTo>
              <a:cubicBezTo>
                <a:pt x="1122" y="114"/>
                <a:pt x="1122" y="114"/>
                <a:pt x="1123" y="111"/>
              </a:cubicBezTo>
              <a:cubicBezTo>
                <a:pt x="1123" y="111"/>
                <a:pt x="1123" y="110"/>
                <a:pt x="1123" y="110"/>
              </a:cubicBezTo>
              <a:cubicBezTo>
                <a:pt x="1123" y="110"/>
                <a:pt x="1123" y="110"/>
                <a:pt x="1123" y="110"/>
              </a:cubicBezTo>
              <a:cubicBezTo>
                <a:pt x="1123" y="109"/>
                <a:pt x="1123" y="109"/>
                <a:pt x="1123" y="109"/>
              </a:cubicBezTo>
              <a:cubicBezTo>
                <a:pt x="1123" y="109"/>
                <a:pt x="1123" y="109"/>
                <a:pt x="1123" y="109"/>
              </a:cubicBezTo>
              <a:cubicBezTo>
                <a:pt x="1123" y="108"/>
                <a:pt x="1123" y="108"/>
                <a:pt x="1123" y="108"/>
              </a:cubicBezTo>
              <a:cubicBezTo>
                <a:pt x="1122" y="108"/>
                <a:pt x="1122" y="107"/>
                <a:pt x="1122" y="106"/>
              </a:cubicBezTo>
              <a:cubicBezTo>
                <a:pt x="1121" y="105"/>
                <a:pt x="1121" y="104"/>
                <a:pt x="1120" y="103"/>
              </a:cubicBezTo>
              <a:cubicBezTo>
                <a:pt x="1119" y="101"/>
                <a:pt x="1118" y="100"/>
                <a:pt x="1117" y="98"/>
              </a:cubicBezTo>
              <a:cubicBezTo>
                <a:pt x="1114" y="94"/>
                <a:pt x="1112" y="91"/>
                <a:pt x="1110" y="87"/>
              </a:cubicBezTo>
              <a:cubicBezTo>
                <a:pt x="1109" y="86"/>
                <a:pt x="1109" y="86"/>
                <a:pt x="1108" y="85"/>
              </a:cubicBezTo>
              <a:cubicBezTo>
                <a:pt x="1108" y="84"/>
                <a:pt x="1108" y="84"/>
                <a:pt x="1108" y="84"/>
              </a:cubicBezTo>
              <a:cubicBezTo>
                <a:pt x="1108" y="84"/>
                <a:pt x="1108" y="84"/>
                <a:pt x="1108" y="83"/>
              </a:cubicBezTo>
              <a:cubicBezTo>
                <a:pt x="1108" y="82"/>
                <a:pt x="1110" y="81"/>
                <a:pt x="1110" y="77"/>
              </a:cubicBezTo>
              <a:cubicBezTo>
                <a:pt x="1111" y="77"/>
                <a:pt x="1111" y="76"/>
                <a:pt x="1111" y="76"/>
              </a:cubicBezTo>
              <a:cubicBezTo>
                <a:pt x="1111" y="76"/>
                <a:pt x="1110" y="75"/>
                <a:pt x="1110" y="74"/>
              </a:cubicBezTo>
              <a:cubicBezTo>
                <a:pt x="1110" y="74"/>
                <a:pt x="1110" y="74"/>
                <a:pt x="1110" y="74"/>
              </a:cubicBezTo>
              <a:cubicBezTo>
                <a:pt x="1110" y="74"/>
                <a:pt x="1110" y="74"/>
                <a:pt x="1110" y="74"/>
              </a:cubicBezTo>
              <a:cubicBezTo>
                <a:pt x="1110" y="73"/>
                <a:pt x="1110" y="73"/>
                <a:pt x="1110" y="73"/>
              </a:cubicBezTo>
              <a:cubicBezTo>
                <a:pt x="1110" y="72"/>
                <a:pt x="1110" y="72"/>
                <a:pt x="1110" y="72"/>
              </a:cubicBezTo>
              <a:cubicBezTo>
                <a:pt x="1109" y="71"/>
                <a:pt x="1108" y="70"/>
                <a:pt x="1108" y="69"/>
              </a:cubicBezTo>
              <a:cubicBezTo>
                <a:pt x="1106" y="67"/>
                <a:pt x="1105" y="66"/>
                <a:pt x="1104" y="64"/>
              </a:cubicBezTo>
              <a:cubicBezTo>
                <a:pt x="1103" y="62"/>
                <a:pt x="1101" y="61"/>
                <a:pt x="1101" y="59"/>
              </a:cubicBezTo>
              <a:cubicBezTo>
                <a:pt x="1099" y="56"/>
                <a:pt x="1097" y="55"/>
                <a:pt x="1096" y="53"/>
              </a:cubicBezTo>
              <a:cubicBezTo>
                <a:pt x="1094" y="52"/>
                <a:pt x="1092" y="51"/>
                <a:pt x="1092" y="50"/>
              </a:cubicBezTo>
              <a:cubicBezTo>
                <a:pt x="1091" y="49"/>
                <a:pt x="1090" y="46"/>
                <a:pt x="1090" y="45"/>
              </a:cubicBezTo>
              <a:cubicBezTo>
                <a:pt x="1090" y="44"/>
                <a:pt x="1090" y="43"/>
                <a:pt x="1090" y="42"/>
              </a:cubicBezTo>
              <a:cubicBezTo>
                <a:pt x="1090" y="42"/>
                <a:pt x="1090" y="42"/>
                <a:pt x="1090" y="42"/>
              </a:cubicBezTo>
              <a:cubicBezTo>
                <a:pt x="1091" y="42"/>
                <a:pt x="1092" y="40"/>
                <a:pt x="1092" y="38"/>
              </a:cubicBezTo>
              <a:cubicBezTo>
                <a:pt x="1092" y="38"/>
                <a:pt x="1092" y="37"/>
                <a:pt x="1091" y="37"/>
              </a:cubicBezTo>
              <a:cubicBezTo>
                <a:pt x="1091" y="37"/>
                <a:pt x="1091" y="37"/>
                <a:pt x="1091" y="37"/>
              </a:cubicBezTo>
              <a:cubicBezTo>
                <a:pt x="1091" y="36"/>
                <a:pt x="1091" y="36"/>
                <a:pt x="1090" y="36"/>
              </a:cubicBezTo>
              <a:cubicBezTo>
                <a:pt x="1088" y="34"/>
                <a:pt x="1088" y="34"/>
                <a:pt x="1088" y="34"/>
              </a:cubicBezTo>
              <a:cubicBezTo>
                <a:pt x="1087" y="33"/>
                <a:pt x="1086" y="33"/>
                <a:pt x="1086" y="32"/>
              </a:cubicBezTo>
              <a:cubicBezTo>
                <a:pt x="1085" y="32"/>
                <a:pt x="1085" y="32"/>
                <a:pt x="1085" y="32"/>
              </a:cubicBezTo>
              <a:cubicBezTo>
                <a:pt x="1085" y="32"/>
                <a:pt x="1085" y="32"/>
                <a:pt x="1085" y="32"/>
              </a:cubicBezTo>
              <a:cubicBezTo>
                <a:pt x="1085" y="32"/>
                <a:pt x="1085" y="32"/>
                <a:pt x="1085" y="32"/>
              </a:cubicBezTo>
              <a:cubicBezTo>
                <a:pt x="1085" y="32"/>
                <a:pt x="1085" y="32"/>
                <a:pt x="1085" y="32"/>
              </a:cubicBezTo>
              <a:cubicBezTo>
                <a:pt x="1085" y="31"/>
                <a:pt x="1085" y="31"/>
                <a:pt x="1085" y="31"/>
              </a:cubicBezTo>
              <a:cubicBezTo>
                <a:pt x="1085" y="30"/>
                <a:pt x="1085" y="30"/>
                <a:pt x="1085" y="29"/>
              </a:cubicBezTo>
              <a:cubicBezTo>
                <a:pt x="1085" y="29"/>
                <a:pt x="1085" y="29"/>
                <a:pt x="1086" y="28"/>
              </a:cubicBezTo>
              <a:cubicBezTo>
                <a:pt x="1086" y="28"/>
                <a:pt x="1086" y="26"/>
                <a:pt x="1086" y="25"/>
              </a:cubicBezTo>
              <a:cubicBezTo>
                <a:pt x="1086" y="25"/>
                <a:pt x="1086" y="24"/>
                <a:pt x="1085" y="24"/>
              </a:cubicBezTo>
              <a:cubicBezTo>
                <a:pt x="1084" y="22"/>
                <a:pt x="1083" y="22"/>
                <a:pt x="1083" y="21"/>
              </a:cubicBezTo>
              <a:cubicBezTo>
                <a:pt x="1083" y="21"/>
                <a:pt x="1082" y="20"/>
                <a:pt x="1082" y="19"/>
              </a:cubicBezTo>
              <a:cubicBezTo>
                <a:pt x="1081" y="17"/>
                <a:pt x="1080" y="15"/>
                <a:pt x="1078" y="13"/>
              </a:cubicBezTo>
              <a:cubicBezTo>
                <a:pt x="1078" y="12"/>
                <a:pt x="1078" y="12"/>
                <a:pt x="1078" y="12"/>
              </a:cubicBezTo>
              <a:cubicBezTo>
                <a:pt x="1077" y="12"/>
                <a:pt x="1077" y="12"/>
                <a:pt x="1077" y="12"/>
              </a:cubicBezTo>
              <a:cubicBezTo>
                <a:pt x="1077" y="12"/>
                <a:pt x="1077" y="12"/>
                <a:pt x="1077" y="12"/>
              </a:cubicBezTo>
              <a:cubicBezTo>
                <a:pt x="1077" y="11"/>
                <a:pt x="1077" y="11"/>
                <a:pt x="1077" y="11"/>
              </a:cubicBezTo>
              <a:cubicBezTo>
                <a:pt x="1077" y="11"/>
                <a:pt x="1077" y="11"/>
                <a:pt x="1077" y="11"/>
              </a:cubicBezTo>
              <a:cubicBezTo>
                <a:pt x="1076" y="11"/>
                <a:pt x="1075" y="10"/>
                <a:pt x="1076" y="10"/>
              </a:cubicBezTo>
              <a:cubicBezTo>
                <a:pt x="1076" y="11"/>
                <a:pt x="1074" y="10"/>
                <a:pt x="1074" y="10"/>
              </a:cubicBezTo>
              <a:cubicBezTo>
                <a:pt x="1074" y="10"/>
                <a:pt x="1073" y="11"/>
                <a:pt x="1073" y="11"/>
              </a:cubicBezTo>
              <a:cubicBezTo>
                <a:pt x="1073" y="11"/>
                <a:pt x="1072" y="11"/>
                <a:pt x="1072" y="12"/>
              </a:cubicBezTo>
              <a:cubicBezTo>
                <a:pt x="1072" y="12"/>
                <a:pt x="1071" y="12"/>
                <a:pt x="1071" y="13"/>
              </a:cubicBezTo>
              <a:cubicBezTo>
                <a:pt x="1071" y="14"/>
                <a:pt x="1070" y="15"/>
                <a:pt x="1069" y="16"/>
              </a:cubicBezTo>
              <a:cubicBezTo>
                <a:pt x="1068" y="17"/>
                <a:pt x="1067" y="19"/>
                <a:pt x="1066" y="21"/>
              </a:cubicBezTo>
              <a:cubicBezTo>
                <a:pt x="1065" y="24"/>
                <a:pt x="1065" y="24"/>
                <a:pt x="1065" y="24"/>
              </a:cubicBezTo>
              <a:cubicBezTo>
                <a:pt x="1064" y="26"/>
                <a:pt x="1064" y="26"/>
                <a:pt x="1064" y="26"/>
              </a:cubicBezTo>
              <a:cubicBezTo>
                <a:pt x="1064" y="26"/>
                <a:pt x="1064" y="26"/>
                <a:pt x="1064" y="27"/>
              </a:cubicBezTo>
              <a:cubicBezTo>
                <a:pt x="1063" y="28"/>
                <a:pt x="1061" y="30"/>
                <a:pt x="1060" y="32"/>
              </a:cubicBezTo>
              <a:cubicBezTo>
                <a:pt x="1059" y="33"/>
                <a:pt x="1059" y="34"/>
                <a:pt x="1058" y="35"/>
              </a:cubicBezTo>
              <a:cubicBezTo>
                <a:pt x="1057" y="36"/>
                <a:pt x="1057" y="36"/>
                <a:pt x="1057" y="36"/>
              </a:cubicBezTo>
              <a:cubicBezTo>
                <a:pt x="1057" y="36"/>
                <a:pt x="1057" y="36"/>
                <a:pt x="1057" y="36"/>
              </a:cubicBezTo>
              <a:cubicBezTo>
                <a:pt x="1057" y="36"/>
                <a:pt x="1057" y="36"/>
                <a:pt x="1057" y="36"/>
              </a:cubicBezTo>
              <a:cubicBezTo>
                <a:pt x="1057" y="37"/>
                <a:pt x="1057" y="38"/>
                <a:pt x="1057" y="39"/>
              </a:cubicBezTo>
              <a:cubicBezTo>
                <a:pt x="1057" y="39"/>
                <a:pt x="1058" y="39"/>
                <a:pt x="1058" y="40"/>
              </a:cubicBezTo>
              <a:cubicBezTo>
                <a:pt x="1058" y="40"/>
                <a:pt x="1058" y="40"/>
                <a:pt x="1058" y="40"/>
              </a:cubicBezTo>
              <a:cubicBezTo>
                <a:pt x="1059" y="40"/>
                <a:pt x="1059" y="40"/>
                <a:pt x="1059" y="40"/>
              </a:cubicBezTo>
              <a:cubicBezTo>
                <a:pt x="1059" y="40"/>
                <a:pt x="1059" y="41"/>
                <a:pt x="1060" y="41"/>
              </a:cubicBezTo>
              <a:cubicBezTo>
                <a:pt x="1059" y="42"/>
                <a:pt x="1059" y="42"/>
                <a:pt x="1059" y="42"/>
              </a:cubicBezTo>
              <a:cubicBezTo>
                <a:pt x="1059" y="43"/>
                <a:pt x="1059" y="43"/>
                <a:pt x="1059" y="43"/>
              </a:cubicBezTo>
              <a:cubicBezTo>
                <a:pt x="1058" y="44"/>
                <a:pt x="1058" y="44"/>
                <a:pt x="1058" y="44"/>
              </a:cubicBezTo>
              <a:cubicBezTo>
                <a:pt x="1058" y="44"/>
                <a:pt x="1057" y="45"/>
                <a:pt x="1057" y="46"/>
              </a:cubicBezTo>
              <a:cubicBezTo>
                <a:pt x="1056" y="47"/>
                <a:pt x="1055" y="47"/>
                <a:pt x="1054" y="49"/>
              </a:cubicBezTo>
              <a:cubicBezTo>
                <a:pt x="1052" y="52"/>
                <a:pt x="1052" y="52"/>
                <a:pt x="1052" y="52"/>
              </a:cubicBezTo>
              <a:cubicBezTo>
                <a:pt x="1051" y="55"/>
                <a:pt x="1048" y="59"/>
                <a:pt x="1045" y="62"/>
              </a:cubicBezTo>
              <a:cubicBezTo>
                <a:pt x="1044" y="64"/>
                <a:pt x="1043" y="66"/>
                <a:pt x="1042" y="68"/>
              </a:cubicBezTo>
              <a:cubicBezTo>
                <a:pt x="1041" y="69"/>
                <a:pt x="1041" y="70"/>
                <a:pt x="1040" y="71"/>
              </a:cubicBezTo>
              <a:cubicBezTo>
                <a:pt x="1040" y="72"/>
                <a:pt x="1040" y="72"/>
                <a:pt x="1040" y="72"/>
              </a:cubicBezTo>
              <a:cubicBezTo>
                <a:pt x="1040" y="72"/>
                <a:pt x="1040" y="72"/>
                <a:pt x="1040" y="72"/>
              </a:cubicBezTo>
              <a:cubicBezTo>
                <a:pt x="1040" y="72"/>
                <a:pt x="1040" y="72"/>
                <a:pt x="1040" y="72"/>
              </a:cubicBezTo>
              <a:cubicBezTo>
                <a:pt x="1040" y="70"/>
                <a:pt x="1039" y="74"/>
                <a:pt x="1041" y="76"/>
              </a:cubicBezTo>
              <a:cubicBezTo>
                <a:pt x="1042" y="76"/>
                <a:pt x="1042" y="76"/>
                <a:pt x="1042" y="76"/>
              </a:cubicBezTo>
              <a:cubicBezTo>
                <a:pt x="1043" y="76"/>
                <a:pt x="1043" y="76"/>
                <a:pt x="1043" y="76"/>
              </a:cubicBezTo>
              <a:cubicBezTo>
                <a:pt x="1044" y="76"/>
                <a:pt x="1044" y="76"/>
                <a:pt x="1044" y="76"/>
              </a:cubicBezTo>
              <a:cubicBezTo>
                <a:pt x="1044" y="77"/>
                <a:pt x="1044" y="78"/>
                <a:pt x="1044" y="78"/>
              </a:cubicBezTo>
              <a:cubicBezTo>
                <a:pt x="1044" y="78"/>
                <a:pt x="1044" y="78"/>
                <a:pt x="1044" y="78"/>
              </a:cubicBezTo>
              <a:cubicBezTo>
                <a:pt x="1043" y="78"/>
                <a:pt x="1043" y="78"/>
                <a:pt x="1042" y="79"/>
              </a:cubicBezTo>
              <a:cubicBezTo>
                <a:pt x="1042" y="79"/>
                <a:pt x="1042" y="79"/>
                <a:pt x="1042" y="79"/>
              </a:cubicBezTo>
              <a:cubicBezTo>
                <a:pt x="1042" y="79"/>
                <a:pt x="1041" y="80"/>
                <a:pt x="1041" y="80"/>
              </a:cubicBezTo>
              <a:cubicBezTo>
                <a:pt x="1041" y="80"/>
                <a:pt x="1041" y="80"/>
                <a:pt x="1041" y="80"/>
              </a:cubicBezTo>
              <a:cubicBezTo>
                <a:pt x="1041" y="81"/>
                <a:pt x="1041" y="81"/>
                <a:pt x="1041" y="81"/>
              </a:cubicBezTo>
              <a:cubicBezTo>
                <a:pt x="1041" y="81"/>
                <a:pt x="1041" y="81"/>
                <a:pt x="1041" y="81"/>
              </a:cubicBezTo>
              <a:cubicBezTo>
                <a:pt x="1040" y="82"/>
                <a:pt x="1040" y="82"/>
                <a:pt x="1040" y="82"/>
              </a:cubicBezTo>
              <a:cubicBezTo>
                <a:pt x="1040" y="84"/>
                <a:pt x="1039" y="87"/>
                <a:pt x="1038" y="89"/>
              </a:cubicBezTo>
              <a:cubicBezTo>
                <a:pt x="1038" y="91"/>
                <a:pt x="1038" y="94"/>
                <a:pt x="1038" y="96"/>
              </a:cubicBezTo>
              <a:cubicBezTo>
                <a:pt x="1038" y="97"/>
                <a:pt x="1038" y="98"/>
                <a:pt x="1038" y="98"/>
              </a:cubicBezTo>
              <a:cubicBezTo>
                <a:pt x="1038" y="99"/>
                <a:pt x="1037" y="99"/>
                <a:pt x="1037" y="99"/>
              </a:cubicBezTo>
              <a:cubicBezTo>
                <a:pt x="1036" y="100"/>
                <a:pt x="1036" y="100"/>
                <a:pt x="1036" y="100"/>
              </a:cubicBezTo>
              <a:cubicBezTo>
                <a:pt x="1036" y="100"/>
                <a:pt x="1035" y="100"/>
                <a:pt x="1034" y="101"/>
              </a:cubicBezTo>
              <a:cubicBezTo>
                <a:pt x="1034" y="101"/>
                <a:pt x="1034" y="101"/>
                <a:pt x="1034" y="101"/>
              </a:cubicBezTo>
              <a:cubicBezTo>
                <a:pt x="1034" y="101"/>
                <a:pt x="1033" y="102"/>
                <a:pt x="1033" y="102"/>
              </a:cubicBezTo>
              <a:cubicBezTo>
                <a:pt x="1033" y="102"/>
                <a:pt x="1033" y="102"/>
                <a:pt x="1033" y="102"/>
              </a:cubicBezTo>
              <a:cubicBezTo>
                <a:pt x="1033" y="102"/>
                <a:pt x="1033" y="103"/>
                <a:pt x="1033" y="103"/>
              </a:cubicBezTo>
              <a:cubicBezTo>
                <a:pt x="1033" y="103"/>
                <a:pt x="1033" y="103"/>
                <a:pt x="1033" y="103"/>
              </a:cubicBezTo>
              <a:cubicBezTo>
                <a:pt x="1033" y="104"/>
                <a:pt x="1033" y="104"/>
                <a:pt x="1033" y="104"/>
              </a:cubicBezTo>
              <a:cubicBezTo>
                <a:pt x="1032" y="105"/>
                <a:pt x="1032" y="105"/>
                <a:pt x="1032" y="105"/>
              </a:cubicBezTo>
              <a:cubicBezTo>
                <a:pt x="1032" y="105"/>
                <a:pt x="1032" y="106"/>
                <a:pt x="1031" y="106"/>
              </a:cubicBezTo>
              <a:cubicBezTo>
                <a:pt x="1030" y="107"/>
                <a:pt x="1029" y="108"/>
                <a:pt x="1028" y="110"/>
              </a:cubicBezTo>
              <a:cubicBezTo>
                <a:pt x="1028" y="113"/>
                <a:pt x="1028" y="114"/>
                <a:pt x="1029" y="115"/>
              </a:cubicBezTo>
              <a:cubicBezTo>
                <a:pt x="1029" y="116"/>
                <a:pt x="1029" y="116"/>
                <a:pt x="1029" y="116"/>
              </a:cubicBezTo>
              <a:cubicBezTo>
                <a:pt x="1029" y="116"/>
                <a:pt x="1029" y="116"/>
                <a:pt x="1029" y="116"/>
              </a:cubicBezTo>
              <a:cubicBezTo>
                <a:pt x="1027" y="123"/>
                <a:pt x="1027" y="123"/>
                <a:pt x="1027" y="123"/>
              </a:cubicBezTo>
              <a:cubicBezTo>
                <a:pt x="1026" y="124"/>
                <a:pt x="1026" y="126"/>
                <a:pt x="1027" y="127"/>
              </a:cubicBezTo>
              <a:cubicBezTo>
                <a:pt x="1027" y="129"/>
                <a:pt x="1028" y="130"/>
                <a:pt x="1028" y="131"/>
              </a:cubicBezTo>
              <a:cubicBezTo>
                <a:pt x="1028" y="132"/>
                <a:pt x="1028" y="132"/>
                <a:pt x="1028" y="132"/>
              </a:cubicBezTo>
              <a:cubicBezTo>
                <a:pt x="1028" y="133"/>
                <a:pt x="1028" y="133"/>
                <a:pt x="1028" y="133"/>
              </a:cubicBezTo>
              <a:cubicBezTo>
                <a:pt x="1028" y="133"/>
                <a:pt x="1028" y="133"/>
                <a:pt x="1028" y="133"/>
              </a:cubicBezTo>
              <a:cubicBezTo>
                <a:pt x="1028" y="133"/>
                <a:pt x="1028" y="133"/>
                <a:pt x="1027" y="134"/>
              </a:cubicBezTo>
              <a:cubicBezTo>
                <a:pt x="1025" y="136"/>
                <a:pt x="1025" y="136"/>
                <a:pt x="1025" y="136"/>
              </a:cubicBezTo>
              <a:cubicBezTo>
                <a:pt x="1025" y="137"/>
                <a:pt x="1024" y="137"/>
                <a:pt x="1024" y="138"/>
              </a:cubicBezTo>
              <a:cubicBezTo>
                <a:pt x="1024" y="138"/>
                <a:pt x="1023" y="139"/>
                <a:pt x="1023" y="140"/>
              </a:cubicBezTo>
              <a:cubicBezTo>
                <a:pt x="1022" y="142"/>
                <a:pt x="1022" y="145"/>
                <a:pt x="1022" y="147"/>
              </a:cubicBezTo>
              <a:cubicBezTo>
                <a:pt x="1022" y="148"/>
                <a:pt x="1022" y="148"/>
                <a:pt x="1022" y="148"/>
              </a:cubicBezTo>
              <a:cubicBezTo>
                <a:pt x="1022" y="149"/>
                <a:pt x="1022" y="149"/>
                <a:pt x="1022" y="149"/>
              </a:cubicBezTo>
              <a:cubicBezTo>
                <a:pt x="1022" y="149"/>
                <a:pt x="1022" y="149"/>
                <a:pt x="1022" y="149"/>
              </a:cubicBezTo>
              <a:cubicBezTo>
                <a:pt x="1021" y="150"/>
                <a:pt x="1023" y="152"/>
                <a:pt x="1023" y="152"/>
              </a:cubicBezTo>
              <a:cubicBezTo>
                <a:pt x="1023" y="152"/>
                <a:pt x="1024" y="152"/>
                <a:pt x="1024" y="152"/>
              </a:cubicBezTo>
              <a:cubicBezTo>
                <a:pt x="1024" y="153"/>
                <a:pt x="1025" y="153"/>
                <a:pt x="1025" y="153"/>
              </a:cubicBezTo>
              <a:cubicBezTo>
                <a:pt x="1026" y="153"/>
                <a:pt x="1027" y="153"/>
                <a:pt x="1028" y="153"/>
              </a:cubicBezTo>
              <a:cubicBezTo>
                <a:pt x="1033" y="153"/>
                <a:pt x="1037" y="154"/>
                <a:pt x="1041" y="154"/>
              </a:cubicBezTo>
              <a:cubicBezTo>
                <a:pt x="1064" y="155"/>
                <a:pt x="1064" y="155"/>
                <a:pt x="1064" y="155"/>
              </a:cubicBezTo>
              <a:cubicBezTo>
                <a:pt x="1064" y="162"/>
                <a:pt x="1064" y="162"/>
                <a:pt x="1064" y="162"/>
              </a:cubicBezTo>
              <a:cubicBezTo>
                <a:pt x="800" y="150"/>
                <a:pt x="800" y="150"/>
                <a:pt x="800" y="150"/>
              </a:cubicBezTo>
              <a:cubicBezTo>
                <a:pt x="711" y="146"/>
                <a:pt x="623" y="131"/>
                <a:pt x="534" y="125"/>
              </a:cubicBezTo>
              <a:cubicBezTo>
                <a:pt x="511" y="123"/>
                <a:pt x="489" y="123"/>
                <a:pt x="467" y="122"/>
              </a:cubicBezTo>
              <a:cubicBezTo>
                <a:pt x="445" y="121"/>
                <a:pt x="422" y="121"/>
                <a:pt x="400" y="120"/>
              </a:cubicBezTo>
              <a:cubicBezTo>
                <a:pt x="355" y="119"/>
                <a:pt x="311" y="119"/>
                <a:pt x="266" y="119"/>
              </a:cubicBezTo>
              <a:cubicBezTo>
                <a:pt x="222" y="120"/>
                <a:pt x="177" y="121"/>
                <a:pt x="133" y="126"/>
              </a:cubicBezTo>
              <a:cubicBezTo>
                <a:pt x="88" y="130"/>
                <a:pt x="44" y="136"/>
                <a:pt x="0" y="142"/>
              </a:cubicBezTo>
              <a:cubicBezTo>
                <a:pt x="44" y="136"/>
                <a:pt x="88" y="131"/>
                <a:pt x="133" y="127"/>
              </a:cubicBezTo>
              <a:cubicBezTo>
                <a:pt x="177" y="124"/>
                <a:pt x="222" y="122"/>
                <a:pt x="266" y="123"/>
              </a:cubicBezTo>
              <a:cubicBezTo>
                <a:pt x="311" y="123"/>
                <a:pt x="355" y="124"/>
                <a:pt x="400" y="125"/>
              </a:cubicBezTo>
              <a:cubicBezTo>
                <a:pt x="467" y="128"/>
                <a:pt x="467" y="128"/>
                <a:pt x="467" y="128"/>
              </a:cubicBezTo>
              <a:cubicBezTo>
                <a:pt x="489" y="129"/>
                <a:pt x="511" y="129"/>
                <a:pt x="533" y="131"/>
              </a:cubicBezTo>
              <a:cubicBezTo>
                <a:pt x="622" y="137"/>
                <a:pt x="710" y="152"/>
                <a:pt x="799" y="156"/>
              </a:cubicBezTo>
              <a:cubicBezTo>
                <a:pt x="1067" y="168"/>
                <a:pt x="1067" y="168"/>
                <a:pt x="1067" y="168"/>
              </a:cubicBezTo>
              <a:cubicBezTo>
                <a:pt x="1070" y="168"/>
                <a:pt x="1070" y="168"/>
                <a:pt x="1070" y="168"/>
              </a:cubicBezTo>
              <a:cubicBezTo>
                <a:pt x="1070" y="165"/>
                <a:pt x="1070" y="165"/>
                <a:pt x="1070" y="165"/>
              </a:cubicBezTo>
              <a:cubicBezTo>
                <a:pt x="1070" y="153"/>
                <a:pt x="1070" y="153"/>
                <a:pt x="1070" y="153"/>
              </a:cubicBezTo>
              <a:cubicBezTo>
                <a:pt x="1070" y="150"/>
                <a:pt x="1070" y="150"/>
                <a:pt x="1070" y="150"/>
              </a:cubicBezTo>
              <a:cubicBezTo>
                <a:pt x="1067" y="150"/>
                <a:pt x="1067" y="150"/>
                <a:pt x="1067" y="150"/>
              </a:cubicBezTo>
              <a:cubicBezTo>
                <a:pt x="1042" y="148"/>
                <a:pt x="1042" y="148"/>
                <a:pt x="1042" y="148"/>
              </a:cubicBezTo>
              <a:cubicBezTo>
                <a:pt x="1038" y="148"/>
                <a:pt x="1033" y="148"/>
                <a:pt x="1029" y="147"/>
              </a:cubicBezTo>
              <a:cubicBezTo>
                <a:pt x="1029" y="147"/>
                <a:pt x="1028" y="147"/>
                <a:pt x="1028" y="147"/>
              </a:cubicBezTo>
              <a:cubicBezTo>
                <a:pt x="1028" y="145"/>
                <a:pt x="1028" y="143"/>
                <a:pt x="1029" y="141"/>
              </a:cubicBezTo>
              <a:cubicBezTo>
                <a:pt x="1029" y="141"/>
                <a:pt x="1029" y="141"/>
                <a:pt x="1029" y="141"/>
              </a:cubicBezTo>
              <a:cubicBezTo>
                <a:pt x="1029" y="141"/>
                <a:pt x="1029" y="140"/>
                <a:pt x="1030" y="140"/>
              </a:cubicBezTo>
              <a:cubicBezTo>
                <a:pt x="1032" y="138"/>
                <a:pt x="1032" y="138"/>
                <a:pt x="1032" y="138"/>
              </a:cubicBezTo>
              <a:cubicBezTo>
                <a:pt x="1032" y="137"/>
                <a:pt x="1033" y="137"/>
                <a:pt x="1033" y="136"/>
              </a:cubicBezTo>
              <a:cubicBezTo>
                <a:pt x="1033" y="136"/>
                <a:pt x="1033" y="135"/>
                <a:pt x="1034" y="135"/>
              </a:cubicBezTo>
              <a:cubicBezTo>
                <a:pt x="1034" y="134"/>
                <a:pt x="1034" y="134"/>
                <a:pt x="1034" y="134"/>
              </a:cubicBezTo>
              <a:cubicBezTo>
                <a:pt x="1034" y="133"/>
                <a:pt x="1034" y="133"/>
                <a:pt x="1034" y="133"/>
              </a:cubicBezTo>
              <a:cubicBezTo>
                <a:pt x="1034" y="132"/>
                <a:pt x="1034" y="130"/>
                <a:pt x="1033" y="129"/>
              </a:cubicBezTo>
              <a:cubicBezTo>
                <a:pt x="1033" y="126"/>
                <a:pt x="1032" y="126"/>
                <a:pt x="1033" y="124"/>
              </a:cubicBezTo>
              <a:cubicBezTo>
                <a:pt x="1034" y="118"/>
                <a:pt x="1034" y="118"/>
                <a:pt x="1034" y="118"/>
              </a:cubicBezTo>
              <a:cubicBezTo>
                <a:pt x="1034" y="118"/>
                <a:pt x="1035" y="117"/>
                <a:pt x="1035" y="116"/>
              </a:cubicBezTo>
              <a:cubicBezTo>
                <a:pt x="1035" y="115"/>
                <a:pt x="1034" y="114"/>
                <a:pt x="1034" y="113"/>
              </a:cubicBezTo>
              <a:cubicBezTo>
                <a:pt x="1034" y="113"/>
                <a:pt x="1034" y="112"/>
                <a:pt x="1034" y="112"/>
              </a:cubicBezTo>
              <a:cubicBezTo>
                <a:pt x="1034" y="112"/>
                <a:pt x="1034" y="111"/>
                <a:pt x="1035" y="111"/>
              </a:cubicBezTo>
              <a:cubicBezTo>
                <a:pt x="1036" y="110"/>
                <a:pt x="1037" y="109"/>
                <a:pt x="1038" y="107"/>
              </a:cubicBezTo>
              <a:cubicBezTo>
                <a:pt x="1038" y="107"/>
                <a:pt x="1038" y="107"/>
                <a:pt x="1038" y="106"/>
              </a:cubicBezTo>
              <a:cubicBezTo>
                <a:pt x="1038" y="106"/>
                <a:pt x="1038" y="106"/>
                <a:pt x="1038" y="106"/>
              </a:cubicBezTo>
              <a:cubicBezTo>
                <a:pt x="1038" y="105"/>
                <a:pt x="1038" y="105"/>
                <a:pt x="1038" y="105"/>
              </a:cubicBezTo>
              <a:cubicBezTo>
                <a:pt x="1039" y="105"/>
                <a:pt x="1039" y="105"/>
                <a:pt x="1039" y="105"/>
              </a:cubicBezTo>
              <a:cubicBezTo>
                <a:pt x="1039" y="105"/>
                <a:pt x="1040" y="105"/>
                <a:pt x="1041" y="104"/>
              </a:cubicBezTo>
              <a:cubicBezTo>
                <a:pt x="1041" y="104"/>
                <a:pt x="1041" y="104"/>
                <a:pt x="1042" y="104"/>
              </a:cubicBezTo>
              <a:cubicBezTo>
                <a:pt x="1042" y="103"/>
                <a:pt x="1042" y="103"/>
                <a:pt x="1042" y="103"/>
              </a:cubicBezTo>
              <a:cubicBezTo>
                <a:pt x="1042" y="103"/>
                <a:pt x="1043" y="102"/>
                <a:pt x="1043" y="102"/>
              </a:cubicBezTo>
              <a:cubicBezTo>
                <a:pt x="1043" y="102"/>
                <a:pt x="1043" y="102"/>
                <a:pt x="1043" y="102"/>
              </a:cubicBezTo>
              <a:cubicBezTo>
                <a:pt x="1043" y="101"/>
                <a:pt x="1043" y="100"/>
                <a:pt x="1043" y="100"/>
              </a:cubicBezTo>
              <a:cubicBezTo>
                <a:pt x="1044" y="98"/>
                <a:pt x="1044" y="97"/>
                <a:pt x="1044" y="96"/>
              </a:cubicBezTo>
              <a:cubicBezTo>
                <a:pt x="1044" y="94"/>
                <a:pt x="1044" y="92"/>
                <a:pt x="1044" y="90"/>
              </a:cubicBezTo>
              <a:cubicBezTo>
                <a:pt x="1045" y="88"/>
                <a:pt x="1045" y="87"/>
                <a:pt x="1046" y="84"/>
              </a:cubicBezTo>
              <a:cubicBezTo>
                <a:pt x="1046" y="83"/>
                <a:pt x="1046" y="83"/>
                <a:pt x="1046" y="83"/>
              </a:cubicBezTo>
              <a:cubicBezTo>
                <a:pt x="1047" y="83"/>
                <a:pt x="1047" y="83"/>
                <a:pt x="1048" y="83"/>
              </a:cubicBezTo>
              <a:cubicBezTo>
                <a:pt x="1048" y="82"/>
                <a:pt x="1049" y="82"/>
                <a:pt x="1049" y="82"/>
              </a:cubicBezTo>
              <a:cubicBezTo>
                <a:pt x="1049" y="81"/>
                <a:pt x="1049" y="81"/>
                <a:pt x="1050" y="81"/>
              </a:cubicBezTo>
              <a:cubicBezTo>
                <a:pt x="1050" y="80"/>
                <a:pt x="1050" y="80"/>
                <a:pt x="1050" y="80"/>
              </a:cubicBezTo>
              <a:cubicBezTo>
                <a:pt x="1050" y="80"/>
                <a:pt x="1050" y="80"/>
                <a:pt x="1050" y="80"/>
              </a:cubicBezTo>
              <a:cubicBezTo>
                <a:pt x="1050" y="79"/>
                <a:pt x="1050" y="79"/>
                <a:pt x="1050" y="79"/>
              </a:cubicBezTo>
              <a:cubicBezTo>
                <a:pt x="1050" y="77"/>
                <a:pt x="1049" y="76"/>
                <a:pt x="1049" y="75"/>
              </a:cubicBezTo>
              <a:cubicBezTo>
                <a:pt x="1049" y="75"/>
                <a:pt x="1049" y="75"/>
                <a:pt x="1049" y="75"/>
              </a:cubicBezTo>
              <a:cubicBezTo>
                <a:pt x="1049" y="75"/>
                <a:pt x="1049" y="75"/>
                <a:pt x="1049" y="75"/>
              </a:cubicBezTo>
              <a:cubicBezTo>
                <a:pt x="1049" y="75"/>
                <a:pt x="1049" y="75"/>
                <a:pt x="1049" y="75"/>
              </a:cubicBezTo>
              <a:cubicBezTo>
                <a:pt x="1049" y="75"/>
                <a:pt x="1049" y="75"/>
                <a:pt x="1049" y="75"/>
              </a:cubicBezTo>
              <a:cubicBezTo>
                <a:pt x="1050" y="71"/>
                <a:pt x="1050" y="74"/>
                <a:pt x="1049" y="72"/>
              </a:cubicBezTo>
              <a:cubicBezTo>
                <a:pt x="1049" y="72"/>
                <a:pt x="1048" y="71"/>
                <a:pt x="1048" y="71"/>
              </a:cubicBezTo>
              <a:cubicBezTo>
                <a:pt x="1047" y="71"/>
                <a:pt x="1047" y="71"/>
                <a:pt x="1047" y="71"/>
              </a:cubicBezTo>
              <a:cubicBezTo>
                <a:pt x="1047" y="71"/>
                <a:pt x="1047" y="71"/>
                <a:pt x="1047" y="71"/>
              </a:cubicBezTo>
              <a:cubicBezTo>
                <a:pt x="1048" y="69"/>
                <a:pt x="1049" y="68"/>
                <a:pt x="1050" y="66"/>
              </a:cubicBezTo>
              <a:cubicBezTo>
                <a:pt x="1053" y="62"/>
                <a:pt x="1056" y="59"/>
                <a:pt x="1058" y="55"/>
              </a:cubicBezTo>
              <a:cubicBezTo>
                <a:pt x="1059" y="52"/>
                <a:pt x="1059" y="52"/>
                <a:pt x="1059" y="52"/>
              </a:cubicBezTo>
              <a:cubicBezTo>
                <a:pt x="1059" y="52"/>
                <a:pt x="1060" y="51"/>
                <a:pt x="1060" y="50"/>
              </a:cubicBezTo>
              <a:cubicBezTo>
                <a:pt x="1061" y="50"/>
                <a:pt x="1062" y="49"/>
                <a:pt x="1063" y="47"/>
              </a:cubicBezTo>
              <a:cubicBezTo>
                <a:pt x="1064" y="46"/>
                <a:pt x="1064" y="46"/>
                <a:pt x="1064" y="46"/>
              </a:cubicBezTo>
              <a:cubicBezTo>
                <a:pt x="1065" y="44"/>
                <a:pt x="1065" y="44"/>
                <a:pt x="1065" y="44"/>
              </a:cubicBezTo>
              <a:cubicBezTo>
                <a:pt x="1066" y="41"/>
                <a:pt x="1066" y="41"/>
                <a:pt x="1066" y="41"/>
              </a:cubicBezTo>
              <a:cubicBezTo>
                <a:pt x="1066" y="40"/>
                <a:pt x="1066" y="40"/>
                <a:pt x="1066" y="40"/>
              </a:cubicBezTo>
              <a:cubicBezTo>
                <a:pt x="1066" y="40"/>
                <a:pt x="1066" y="40"/>
                <a:pt x="1066" y="40"/>
              </a:cubicBezTo>
              <a:cubicBezTo>
                <a:pt x="1067" y="40"/>
                <a:pt x="1066" y="41"/>
                <a:pt x="1067" y="39"/>
              </a:cubicBezTo>
              <a:cubicBezTo>
                <a:pt x="1067" y="39"/>
                <a:pt x="1067" y="39"/>
                <a:pt x="1067" y="39"/>
              </a:cubicBezTo>
              <a:cubicBezTo>
                <a:pt x="1067" y="39"/>
                <a:pt x="1067" y="38"/>
                <a:pt x="1066" y="37"/>
              </a:cubicBezTo>
              <a:cubicBezTo>
                <a:pt x="1066" y="37"/>
                <a:pt x="1065" y="36"/>
                <a:pt x="1065" y="36"/>
              </a:cubicBezTo>
              <a:cubicBezTo>
                <a:pt x="1065" y="36"/>
                <a:pt x="1065" y="36"/>
                <a:pt x="1065" y="36"/>
              </a:cubicBezTo>
              <a:cubicBezTo>
                <a:pt x="1065" y="36"/>
                <a:pt x="1065" y="36"/>
                <a:pt x="1065" y="36"/>
              </a:cubicBezTo>
              <a:cubicBezTo>
                <a:pt x="1064" y="36"/>
                <a:pt x="1064" y="36"/>
                <a:pt x="1064" y="36"/>
              </a:cubicBezTo>
              <a:cubicBezTo>
                <a:pt x="1065" y="36"/>
                <a:pt x="1065" y="36"/>
                <a:pt x="1065" y="35"/>
              </a:cubicBezTo>
              <a:cubicBezTo>
                <a:pt x="1066" y="34"/>
                <a:pt x="1067" y="32"/>
                <a:pt x="1069" y="30"/>
              </a:cubicBezTo>
              <a:cubicBezTo>
                <a:pt x="1069" y="30"/>
                <a:pt x="1069" y="29"/>
                <a:pt x="1070" y="28"/>
              </a:cubicBezTo>
              <a:cubicBezTo>
                <a:pt x="1070" y="27"/>
                <a:pt x="1070" y="27"/>
                <a:pt x="1070" y="27"/>
              </a:cubicBezTo>
              <a:cubicBezTo>
                <a:pt x="1072" y="24"/>
                <a:pt x="1072" y="24"/>
                <a:pt x="1072" y="24"/>
              </a:cubicBezTo>
              <a:cubicBezTo>
                <a:pt x="1073" y="22"/>
                <a:pt x="1074" y="20"/>
                <a:pt x="1075" y="19"/>
              </a:cubicBezTo>
              <a:cubicBezTo>
                <a:pt x="1075" y="20"/>
                <a:pt x="1076" y="21"/>
                <a:pt x="1076" y="22"/>
              </a:cubicBezTo>
              <a:cubicBezTo>
                <a:pt x="1077" y="23"/>
                <a:pt x="1077" y="23"/>
                <a:pt x="1078" y="25"/>
              </a:cubicBezTo>
              <a:cubicBezTo>
                <a:pt x="1079" y="26"/>
                <a:pt x="1079" y="26"/>
                <a:pt x="1080" y="26"/>
              </a:cubicBezTo>
              <a:cubicBezTo>
                <a:pt x="1079" y="27"/>
                <a:pt x="1079" y="27"/>
                <a:pt x="1079" y="27"/>
              </a:cubicBezTo>
              <a:cubicBezTo>
                <a:pt x="1079" y="29"/>
                <a:pt x="1079" y="31"/>
                <a:pt x="1079" y="32"/>
              </a:cubicBezTo>
              <a:cubicBezTo>
                <a:pt x="1079" y="33"/>
                <a:pt x="1080" y="33"/>
                <a:pt x="1080" y="34"/>
              </a:cubicBezTo>
              <a:cubicBezTo>
                <a:pt x="1080" y="34"/>
                <a:pt x="1080" y="34"/>
                <a:pt x="1080" y="34"/>
              </a:cubicBezTo>
              <a:cubicBezTo>
                <a:pt x="1080" y="35"/>
                <a:pt x="1080" y="35"/>
                <a:pt x="1080" y="35"/>
              </a:cubicBezTo>
              <a:cubicBezTo>
                <a:pt x="1080" y="35"/>
                <a:pt x="1081" y="35"/>
                <a:pt x="1081" y="35"/>
              </a:cubicBezTo>
              <a:cubicBezTo>
                <a:pt x="1081" y="36"/>
                <a:pt x="1081" y="36"/>
                <a:pt x="1081" y="36"/>
              </a:cubicBezTo>
              <a:cubicBezTo>
                <a:pt x="1082" y="37"/>
                <a:pt x="1083" y="38"/>
                <a:pt x="1084" y="38"/>
              </a:cubicBezTo>
              <a:cubicBezTo>
                <a:pt x="1084" y="39"/>
                <a:pt x="1084" y="40"/>
                <a:pt x="1083" y="40"/>
              </a:cubicBezTo>
              <a:cubicBezTo>
                <a:pt x="1083" y="41"/>
                <a:pt x="1083" y="42"/>
                <a:pt x="1083" y="42"/>
              </a:cubicBezTo>
              <a:cubicBezTo>
                <a:pt x="1084" y="44"/>
                <a:pt x="1084" y="45"/>
                <a:pt x="1084" y="46"/>
              </a:cubicBezTo>
              <a:cubicBezTo>
                <a:pt x="1085" y="48"/>
                <a:pt x="1085" y="50"/>
                <a:pt x="1087" y="53"/>
              </a:cubicBezTo>
              <a:cubicBezTo>
                <a:pt x="1088" y="55"/>
                <a:pt x="1090" y="57"/>
                <a:pt x="1092" y="58"/>
              </a:cubicBezTo>
              <a:cubicBezTo>
                <a:pt x="1093" y="59"/>
                <a:pt x="1095" y="60"/>
                <a:pt x="1095" y="62"/>
              </a:cubicBezTo>
              <a:cubicBezTo>
                <a:pt x="1096" y="64"/>
                <a:pt x="1098" y="66"/>
                <a:pt x="1099" y="68"/>
              </a:cubicBezTo>
              <a:cubicBezTo>
                <a:pt x="1100" y="69"/>
                <a:pt x="1102" y="71"/>
                <a:pt x="1103" y="73"/>
              </a:cubicBezTo>
              <a:cubicBezTo>
                <a:pt x="1103" y="73"/>
                <a:pt x="1104" y="74"/>
                <a:pt x="1104" y="75"/>
              </a:cubicBezTo>
              <a:cubicBezTo>
                <a:pt x="1104" y="76"/>
                <a:pt x="1104" y="76"/>
                <a:pt x="1104" y="76"/>
              </a:cubicBezTo>
              <a:cubicBezTo>
                <a:pt x="1105" y="76"/>
                <a:pt x="1105" y="76"/>
                <a:pt x="1105" y="76"/>
              </a:cubicBezTo>
              <a:cubicBezTo>
                <a:pt x="1105" y="76"/>
                <a:pt x="1105" y="76"/>
                <a:pt x="1105" y="76"/>
              </a:cubicBezTo>
              <a:cubicBezTo>
                <a:pt x="1105" y="76"/>
                <a:pt x="1105" y="76"/>
                <a:pt x="1105" y="76"/>
              </a:cubicBezTo>
              <a:cubicBezTo>
                <a:pt x="1105" y="76"/>
                <a:pt x="1105" y="76"/>
                <a:pt x="1105" y="76"/>
              </a:cubicBezTo>
              <a:cubicBezTo>
                <a:pt x="1105" y="76"/>
                <a:pt x="1105" y="76"/>
                <a:pt x="1105" y="76"/>
              </a:cubicBezTo>
              <a:cubicBezTo>
                <a:pt x="1104" y="77"/>
                <a:pt x="1103" y="79"/>
                <a:pt x="1102" y="82"/>
              </a:cubicBezTo>
              <a:cubicBezTo>
                <a:pt x="1102" y="83"/>
                <a:pt x="1102" y="84"/>
                <a:pt x="1102" y="85"/>
              </a:cubicBezTo>
              <a:cubicBezTo>
                <a:pt x="1102" y="86"/>
                <a:pt x="1103" y="87"/>
                <a:pt x="1103" y="87"/>
              </a:cubicBezTo>
              <a:cubicBezTo>
                <a:pt x="1103" y="88"/>
                <a:pt x="1104" y="89"/>
                <a:pt x="1104" y="90"/>
              </a:cubicBezTo>
              <a:cubicBezTo>
                <a:pt x="1107" y="94"/>
                <a:pt x="1109" y="98"/>
                <a:pt x="1112" y="101"/>
              </a:cubicBezTo>
              <a:cubicBezTo>
                <a:pt x="1113" y="103"/>
                <a:pt x="1114" y="105"/>
                <a:pt x="1115" y="106"/>
              </a:cubicBezTo>
              <a:cubicBezTo>
                <a:pt x="1115" y="107"/>
                <a:pt x="1116" y="108"/>
                <a:pt x="1116" y="109"/>
              </a:cubicBezTo>
              <a:cubicBezTo>
                <a:pt x="1117" y="109"/>
                <a:pt x="1117" y="110"/>
                <a:pt x="1117" y="110"/>
              </a:cubicBezTo>
              <a:cubicBezTo>
                <a:pt x="1117" y="110"/>
                <a:pt x="1117" y="110"/>
                <a:pt x="1117" y="110"/>
              </a:cubicBezTo>
              <a:cubicBezTo>
                <a:pt x="1117" y="111"/>
                <a:pt x="1116" y="111"/>
                <a:pt x="1116" y="112"/>
              </a:cubicBezTo>
              <a:cubicBezTo>
                <a:pt x="1116" y="112"/>
                <a:pt x="1115" y="113"/>
                <a:pt x="1115" y="114"/>
              </a:cubicBezTo>
              <a:cubicBezTo>
                <a:pt x="1115" y="114"/>
                <a:pt x="1114" y="115"/>
                <a:pt x="1114" y="117"/>
              </a:cubicBezTo>
              <a:cubicBezTo>
                <a:pt x="1114" y="117"/>
                <a:pt x="1114" y="117"/>
                <a:pt x="1115" y="118"/>
              </a:cubicBezTo>
              <a:cubicBezTo>
                <a:pt x="1115" y="118"/>
                <a:pt x="1115" y="118"/>
                <a:pt x="1115" y="118"/>
              </a:cubicBezTo>
              <a:cubicBezTo>
                <a:pt x="1115" y="118"/>
                <a:pt x="1115" y="118"/>
                <a:pt x="1115" y="119"/>
              </a:cubicBezTo>
              <a:cubicBezTo>
                <a:pt x="1115" y="119"/>
                <a:pt x="1115" y="119"/>
                <a:pt x="1116" y="120"/>
              </a:cubicBezTo>
              <a:cubicBezTo>
                <a:pt x="1116" y="120"/>
                <a:pt x="1117" y="121"/>
                <a:pt x="1117" y="121"/>
              </a:cubicBezTo>
              <a:cubicBezTo>
                <a:pt x="1118" y="122"/>
                <a:pt x="1119" y="123"/>
                <a:pt x="1119" y="123"/>
              </a:cubicBezTo>
              <a:cubicBezTo>
                <a:pt x="1119" y="122"/>
                <a:pt x="1119" y="124"/>
                <a:pt x="1119" y="124"/>
              </a:cubicBezTo>
              <a:cubicBezTo>
                <a:pt x="1120" y="125"/>
                <a:pt x="1120" y="125"/>
                <a:pt x="1120" y="126"/>
              </a:cubicBezTo>
              <a:cubicBezTo>
                <a:pt x="1122" y="128"/>
                <a:pt x="1122" y="128"/>
                <a:pt x="1122" y="128"/>
              </a:cubicBezTo>
              <a:cubicBezTo>
                <a:pt x="1122" y="129"/>
                <a:pt x="1123" y="129"/>
                <a:pt x="1123" y="130"/>
              </a:cubicBezTo>
              <a:cubicBezTo>
                <a:pt x="1123" y="130"/>
                <a:pt x="1123" y="130"/>
                <a:pt x="1123" y="130"/>
              </a:cubicBezTo>
              <a:cubicBezTo>
                <a:pt x="1123" y="130"/>
                <a:pt x="1122" y="131"/>
                <a:pt x="1122" y="131"/>
              </a:cubicBezTo>
              <a:cubicBezTo>
                <a:pt x="1121" y="132"/>
                <a:pt x="1121" y="133"/>
                <a:pt x="1120" y="135"/>
              </a:cubicBezTo>
              <a:cubicBezTo>
                <a:pt x="1120" y="136"/>
                <a:pt x="1120" y="136"/>
                <a:pt x="1120" y="137"/>
              </a:cubicBezTo>
              <a:cubicBezTo>
                <a:pt x="1120" y="138"/>
                <a:pt x="1120" y="138"/>
                <a:pt x="1120" y="138"/>
              </a:cubicBezTo>
              <a:cubicBezTo>
                <a:pt x="1120" y="138"/>
                <a:pt x="1121" y="139"/>
                <a:pt x="1121" y="140"/>
              </a:cubicBezTo>
              <a:cubicBezTo>
                <a:pt x="1122" y="142"/>
                <a:pt x="1123" y="144"/>
                <a:pt x="1123" y="146"/>
              </a:cubicBezTo>
              <a:cubicBezTo>
                <a:pt x="1124" y="146"/>
                <a:pt x="1124" y="147"/>
                <a:pt x="1124" y="147"/>
              </a:cubicBezTo>
              <a:cubicBezTo>
                <a:pt x="1123" y="148"/>
                <a:pt x="1122" y="148"/>
                <a:pt x="1120" y="148"/>
              </a:cubicBezTo>
              <a:cubicBezTo>
                <a:pt x="1108" y="148"/>
                <a:pt x="1108" y="148"/>
                <a:pt x="1108" y="148"/>
              </a:cubicBezTo>
              <a:cubicBezTo>
                <a:pt x="1082" y="149"/>
                <a:pt x="1082" y="149"/>
                <a:pt x="1082" y="149"/>
              </a:cubicBezTo>
              <a:cubicBezTo>
                <a:pt x="1079" y="149"/>
                <a:pt x="1079" y="149"/>
                <a:pt x="1079" y="149"/>
              </a:cubicBezTo>
              <a:cubicBezTo>
                <a:pt x="1079" y="152"/>
                <a:pt x="1079" y="152"/>
                <a:pt x="1079" y="152"/>
              </a:cubicBezTo>
              <a:cubicBezTo>
                <a:pt x="1080" y="165"/>
                <a:pt x="1080" y="165"/>
                <a:pt x="1080" y="165"/>
              </a:cubicBezTo>
              <a:cubicBezTo>
                <a:pt x="1080" y="168"/>
                <a:pt x="1080" y="168"/>
                <a:pt x="1080" y="168"/>
              </a:cubicBezTo>
              <a:cubicBezTo>
                <a:pt x="1083" y="168"/>
                <a:pt x="1083" y="168"/>
                <a:pt x="1083" y="168"/>
              </a:cubicBezTo>
              <a:cubicBezTo>
                <a:pt x="1129" y="169"/>
                <a:pt x="1129" y="169"/>
                <a:pt x="1129" y="169"/>
              </a:cubicBezTo>
              <a:cubicBezTo>
                <a:pt x="1153" y="170"/>
                <a:pt x="1153" y="170"/>
                <a:pt x="1153" y="170"/>
              </a:cubicBezTo>
              <a:cubicBezTo>
                <a:pt x="1165" y="170"/>
                <a:pt x="1165" y="170"/>
                <a:pt x="1165" y="170"/>
              </a:cubicBezTo>
              <a:cubicBezTo>
                <a:pt x="1168" y="170"/>
                <a:pt x="1172" y="170"/>
                <a:pt x="1176" y="170"/>
              </a:cubicBezTo>
              <a:cubicBezTo>
                <a:pt x="1180" y="170"/>
                <a:pt x="1184" y="171"/>
                <a:pt x="1188" y="171"/>
              </a:cubicBezTo>
              <a:cubicBezTo>
                <a:pt x="1190" y="171"/>
                <a:pt x="1192" y="171"/>
                <a:pt x="1194" y="170"/>
              </a:cubicBezTo>
              <a:cubicBezTo>
                <a:pt x="1195" y="170"/>
                <a:pt x="1195" y="170"/>
                <a:pt x="1195" y="170"/>
              </a:cubicBezTo>
              <a:cubicBezTo>
                <a:pt x="1195" y="170"/>
                <a:pt x="1196" y="170"/>
                <a:pt x="1196" y="170"/>
              </a:cubicBezTo>
              <a:cubicBezTo>
                <a:pt x="1196" y="170"/>
                <a:pt x="1196" y="170"/>
                <a:pt x="1197" y="169"/>
              </a:cubicBezTo>
              <a:cubicBezTo>
                <a:pt x="1197" y="169"/>
                <a:pt x="1197" y="169"/>
                <a:pt x="1197" y="169"/>
              </a:cubicBezTo>
              <a:cubicBezTo>
                <a:pt x="1197" y="169"/>
                <a:pt x="1198" y="168"/>
                <a:pt x="1198" y="168"/>
              </a:cubicBezTo>
              <a:cubicBezTo>
                <a:pt x="1198" y="167"/>
                <a:pt x="1198" y="167"/>
                <a:pt x="1198" y="166"/>
              </a:cubicBezTo>
              <a:cubicBezTo>
                <a:pt x="1199" y="165"/>
                <a:pt x="1199" y="164"/>
                <a:pt x="1199" y="163"/>
              </a:cubicBezTo>
              <a:cubicBezTo>
                <a:pt x="1200" y="155"/>
                <a:pt x="1200" y="147"/>
                <a:pt x="1200" y="139"/>
              </a:cubicBezTo>
              <a:cubicBezTo>
                <a:pt x="1200" y="131"/>
                <a:pt x="1200" y="123"/>
                <a:pt x="1198" y="115"/>
              </a:cubicBezTo>
              <a:cubicBezTo>
                <a:pt x="1198" y="114"/>
                <a:pt x="1198" y="113"/>
                <a:pt x="1197" y="112"/>
              </a:cubicBezTo>
              <a:cubicBezTo>
                <a:pt x="1197" y="111"/>
                <a:pt x="1196" y="110"/>
                <a:pt x="1195" y="109"/>
              </a:cubicBezTo>
              <a:cubicBezTo>
                <a:pt x="1195" y="109"/>
                <a:pt x="1193" y="109"/>
                <a:pt x="1193" y="109"/>
              </a:cubicBezTo>
              <a:cubicBezTo>
                <a:pt x="1190" y="108"/>
                <a:pt x="1188" y="108"/>
                <a:pt x="1186" y="108"/>
              </a:cubicBezTo>
              <a:cubicBezTo>
                <a:pt x="1182" y="109"/>
                <a:pt x="1178" y="110"/>
                <a:pt x="1176" y="110"/>
              </a:cubicBezTo>
              <a:cubicBezTo>
                <a:pt x="1176" y="109"/>
                <a:pt x="1177" y="108"/>
                <a:pt x="1178" y="107"/>
              </a:cubicBezTo>
              <a:cubicBezTo>
                <a:pt x="1180" y="105"/>
                <a:pt x="1183" y="102"/>
                <a:pt x="1186" y="99"/>
              </a:cubicBezTo>
              <a:cubicBezTo>
                <a:pt x="1192" y="94"/>
                <a:pt x="1198" y="89"/>
                <a:pt x="1204" y="84"/>
              </a:cubicBezTo>
              <a:cubicBezTo>
                <a:pt x="1210" y="79"/>
                <a:pt x="1216" y="74"/>
                <a:pt x="1222" y="69"/>
              </a:cubicBezTo>
              <a:cubicBezTo>
                <a:pt x="1239" y="53"/>
                <a:pt x="1239" y="53"/>
                <a:pt x="1239" y="53"/>
              </a:cubicBezTo>
              <a:cubicBezTo>
                <a:pt x="1257" y="38"/>
                <a:pt x="1257" y="38"/>
                <a:pt x="1257" y="38"/>
              </a:cubicBezTo>
              <a:cubicBezTo>
                <a:pt x="1265" y="30"/>
                <a:pt x="1265" y="30"/>
                <a:pt x="1265" y="30"/>
              </a:cubicBezTo>
              <a:cubicBezTo>
                <a:pt x="1268" y="27"/>
                <a:pt x="1271" y="24"/>
                <a:pt x="1274" y="21"/>
              </a:cubicBezTo>
              <a:cubicBezTo>
                <a:pt x="1279" y="16"/>
                <a:pt x="1285" y="11"/>
                <a:pt x="1291" y="8"/>
              </a:cubicBezTo>
              <a:cubicBezTo>
                <a:pt x="1294" y="7"/>
                <a:pt x="1297" y="6"/>
                <a:pt x="1300" y="8"/>
              </a:cubicBezTo>
              <a:cubicBezTo>
                <a:pt x="1303" y="9"/>
                <a:pt x="1307" y="11"/>
                <a:pt x="1310" y="13"/>
              </a:cubicBezTo>
              <a:cubicBezTo>
                <a:pt x="1321" y="22"/>
                <a:pt x="1332" y="35"/>
                <a:pt x="1345" y="44"/>
              </a:cubicBezTo>
              <a:cubicBezTo>
                <a:pt x="1357" y="53"/>
                <a:pt x="1370" y="62"/>
                <a:pt x="1382" y="72"/>
              </a:cubicBezTo>
              <a:cubicBezTo>
                <a:pt x="1388" y="77"/>
                <a:pt x="1395" y="81"/>
                <a:pt x="1401" y="86"/>
              </a:cubicBezTo>
              <a:cubicBezTo>
                <a:pt x="1407" y="90"/>
                <a:pt x="1414" y="95"/>
                <a:pt x="1419" y="99"/>
              </a:cubicBezTo>
              <a:cubicBezTo>
                <a:pt x="1417" y="100"/>
                <a:pt x="1416" y="100"/>
                <a:pt x="1415" y="100"/>
              </a:cubicBezTo>
              <a:cubicBezTo>
                <a:pt x="1411" y="101"/>
                <a:pt x="1407" y="102"/>
                <a:pt x="1403" y="102"/>
              </a:cubicBezTo>
              <a:cubicBezTo>
                <a:pt x="1399" y="103"/>
                <a:pt x="1396" y="103"/>
                <a:pt x="1391" y="104"/>
              </a:cubicBezTo>
              <a:cubicBezTo>
                <a:pt x="1391" y="104"/>
                <a:pt x="1391" y="105"/>
                <a:pt x="1390" y="105"/>
              </a:cubicBezTo>
              <a:cubicBezTo>
                <a:pt x="1390" y="105"/>
                <a:pt x="1390" y="105"/>
                <a:pt x="1390" y="105"/>
              </a:cubicBezTo>
              <a:cubicBezTo>
                <a:pt x="1389" y="105"/>
                <a:pt x="1389" y="105"/>
                <a:pt x="1388" y="106"/>
              </a:cubicBezTo>
              <a:cubicBezTo>
                <a:pt x="1388" y="106"/>
                <a:pt x="1388" y="107"/>
                <a:pt x="1388" y="107"/>
              </a:cubicBezTo>
              <a:cubicBezTo>
                <a:pt x="1388" y="108"/>
                <a:pt x="1388" y="108"/>
                <a:pt x="1388" y="109"/>
              </a:cubicBezTo>
              <a:cubicBezTo>
                <a:pt x="1388" y="109"/>
                <a:pt x="1388" y="109"/>
                <a:pt x="1388" y="109"/>
              </a:cubicBezTo>
              <a:cubicBezTo>
                <a:pt x="1388" y="112"/>
                <a:pt x="1388" y="112"/>
                <a:pt x="1388" y="112"/>
              </a:cubicBezTo>
              <a:cubicBezTo>
                <a:pt x="1388" y="118"/>
                <a:pt x="1388" y="118"/>
                <a:pt x="1388" y="118"/>
              </a:cubicBezTo>
              <a:cubicBezTo>
                <a:pt x="1389" y="134"/>
                <a:pt x="1390" y="149"/>
                <a:pt x="1392" y="164"/>
              </a:cubicBezTo>
              <a:cubicBezTo>
                <a:pt x="1382" y="164"/>
                <a:pt x="1382" y="164"/>
                <a:pt x="1382" y="164"/>
              </a:cubicBezTo>
              <a:cubicBezTo>
                <a:pt x="1372" y="165"/>
                <a:pt x="1363" y="165"/>
                <a:pt x="1353" y="165"/>
              </a:cubicBezTo>
              <a:cubicBezTo>
                <a:pt x="1353" y="165"/>
                <a:pt x="1352" y="165"/>
                <a:pt x="1352" y="165"/>
              </a:cubicBezTo>
              <a:cubicBezTo>
                <a:pt x="1344" y="165"/>
                <a:pt x="1337" y="164"/>
                <a:pt x="1329" y="164"/>
              </a:cubicBezTo>
              <a:cubicBezTo>
                <a:pt x="1323" y="163"/>
                <a:pt x="1323" y="163"/>
                <a:pt x="1323" y="163"/>
              </a:cubicBezTo>
              <a:cubicBezTo>
                <a:pt x="1320" y="163"/>
                <a:pt x="1320" y="163"/>
                <a:pt x="1320" y="163"/>
              </a:cubicBezTo>
              <a:cubicBezTo>
                <a:pt x="1319" y="163"/>
                <a:pt x="1319" y="163"/>
                <a:pt x="1319" y="163"/>
              </a:cubicBezTo>
              <a:cubicBezTo>
                <a:pt x="1319" y="163"/>
                <a:pt x="1319" y="162"/>
                <a:pt x="1319" y="162"/>
              </a:cubicBezTo>
              <a:cubicBezTo>
                <a:pt x="1319" y="161"/>
                <a:pt x="1319" y="160"/>
                <a:pt x="1319" y="159"/>
              </a:cubicBezTo>
              <a:cubicBezTo>
                <a:pt x="1319" y="157"/>
                <a:pt x="1319" y="156"/>
                <a:pt x="1318" y="154"/>
              </a:cubicBezTo>
              <a:cubicBezTo>
                <a:pt x="1318" y="138"/>
                <a:pt x="1318" y="123"/>
                <a:pt x="1318" y="107"/>
              </a:cubicBezTo>
              <a:cubicBezTo>
                <a:pt x="1318" y="104"/>
                <a:pt x="1318" y="104"/>
                <a:pt x="1318" y="104"/>
              </a:cubicBezTo>
              <a:cubicBezTo>
                <a:pt x="1315" y="104"/>
                <a:pt x="1315" y="104"/>
                <a:pt x="1315" y="104"/>
              </a:cubicBezTo>
              <a:cubicBezTo>
                <a:pt x="1267" y="104"/>
                <a:pt x="1267" y="104"/>
                <a:pt x="1267" y="104"/>
              </a:cubicBezTo>
              <a:cubicBezTo>
                <a:pt x="1264" y="104"/>
                <a:pt x="1264" y="104"/>
                <a:pt x="1264" y="104"/>
              </a:cubicBezTo>
              <a:cubicBezTo>
                <a:pt x="1264" y="107"/>
                <a:pt x="1264" y="107"/>
                <a:pt x="1264" y="107"/>
              </a:cubicBezTo>
              <a:cubicBezTo>
                <a:pt x="1264" y="170"/>
                <a:pt x="1264" y="170"/>
                <a:pt x="1264" y="170"/>
              </a:cubicBezTo>
              <a:cubicBezTo>
                <a:pt x="1264" y="173"/>
                <a:pt x="1264" y="173"/>
                <a:pt x="1264" y="173"/>
              </a:cubicBezTo>
              <a:cubicBezTo>
                <a:pt x="1267" y="173"/>
                <a:pt x="1267" y="173"/>
                <a:pt x="1267" y="173"/>
              </a:cubicBezTo>
              <a:cubicBezTo>
                <a:pt x="1296" y="172"/>
                <a:pt x="1325" y="172"/>
                <a:pt x="1354" y="171"/>
              </a:cubicBezTo>
              <a:cubicBezTo>
                <a:pt x="1361" y="171"/>
                <a:pt x="1368" y="172"/>
                <a:pt x="1375" y="172"/>
              </a:cubicBezTo>
              <a:cubicBezTo>
                <a:pt x="1379" y="172"/>
                <a:pt x="1383" y="172"/>
                <a:pt x="1387" y="172"/>
              </a:cubicBezTo>
              <a:cubicBezTo>
                <a:pt x="1389" y="171"/>
                <a:pt x="1391" y="171"/>
                <a:pt x="1393" y="171"/>
              </a:cubicBezTo>
              <a:cubicBezTo>
                <a:pt x="1394" y="171"/>
                <a:pt x="1394" y="171"/>
                <a:pt x="1395" y="171"/>
              </a:cubicBezTo>
              <a:cubicBezTo>
                <a:pt x="1395" y="171"/>
                <a:pt x="1395" y="171"/>
                <a:pt x="1396" y="171"/>
              </a:cubicBezTo>
              <a:cubicBezTo>
                <a:pt x="1396" y="171"/>
                <a:pt x="1397" y="171"/>
                <a:pt x="1398" y="170"/>
              </a:cubicBezTo>
              <a:cubicBezTo>
                <a:pt x="1398" y="170"/>
                <a:pt x="1398" y="170"/>
                <a:pt x="1398" y="170"/>
              </a:cubicBezTo>
              <a:cubicBezTo>
                <a:pt x="1411" y="169"/>
                <a:pt x="1411" y="169"/>
                <a:pt x="1411" y="169"/>
              </a:cubicBezTo>
              <a:cubicBezTo>
                <a:pt x="1418" y="169"/>
                <a:pt x="1418" y="169"/>
                <a:pt x="1418" y="169"/>
              </a:cubicBezTo>
              <a:cubicBezTo>
                <a:pt x="1420" y="169"/>
                <a:pt x="1423" y="170"/>
                <a:pt x="1426" y="169"/>
              </a:cubicBezTo>
              <a:cubicBezTo>
                <a:pt x="1426" y="169"/>
                <a:pt x="1427" y="168"/>
                <a:pt x="1427" y="168"/>
              </a:cubicBezTo>
              <a:cubicBezTo>
                <a:pt x="1427" y="168"/>
                <a:pt x="1428" y="167"/>
                <a:pt x="1428" y="167"/>
              </a:cubicBezTo>
              <a:cubicBezTo>
                <a:pt x="1429" y="165"/>
                <a:pt x="1429" y="165"/>
                <a:pt x="1429" y="165"/>
              </a:cubicBezTo>
              <a:cubicBezTo>
                <a:pt x="1432" y="163"/>
                <a:pt x="1432" y="163"/>
                <a:pt x="1432" y="163"/>
              </a:cubicBezTo>
              <a:cubicBezTo>
                <a:pt x="1433" y="161"/>
                <a:pt x="1435" y="159"/>
                <a:pt x="1436" y="157"/>
              </a:cubicBezTo>
              <a:cubicBezTo>
                <a:pt x="1439" y="154"/>
                <a:pt x="1443" y="150"/>
                <a:pt x="1446" y="148"/>
              </a:cubicBezTo>
              <a:cubicBezTo>
                <a:pt x="1448" y="146"/>
                <a:pt x="1450" y="145"/>
                <a:pt x="1452" y="144"/>
              </a:cubicBezTo>
              <a:cubicBezTo>
                <a:pt x="1452" y="144"/>
                <a:pt x="1452" y="144"/>
                <a:pt x="1452" y="144"/>
              </a:cubicBezTo>
              <a:cubicBezTo>
                <a:pt x="1450" y="147"/>
                <a:pt x="1447" y="150"/>
                <a:pt x="1445" y="154"/>
              </a:cubicBezTo>
              <a:cubicBezTo>
                <a:pt x="1444" y="155"/>
                <a:pt x="1444" y="156"/>
                <a:pt x="1443" y="157"/>
              </a:cubicBezTo>
              <a:cubicBezTo>
                <a:pt x="1443" y="158"/>
                <a:pt x="1442" y="158"/>
                <a:pt x="1442" y="159"/>
              </a:cubicBezTo>
              <a:cubicBezTo>
                <a:pt x="1442" y="160"/>
                <a:pt x="1442" y="160"/>
                <a:pt x="1442" y="162"/>
              </a:cubicBezTo>
              <a:cubicBezTo>
                <a:pt x="1442" y="162"/>
                <a:pt x="1442" y="162"/>
                <a:pt x="1442" y="163"/>
              </a:cubicBezTo>
              <a:cubicBezTo>
                <a:pt x="1443" y="163"/>
                <a:pt x="1443" y="163"/>
                <a:pt x="1443" y="163"/>
              </a:cubicBezTo>
              <a:cubicBezTo>
                <a:pt x="1443" y="163"/>
                <a:pt x="1443" y="164"/>
                <a:pt x="1443" y="164"/>
              </a:cubicBezTo>
              <a:cubicBezTo>
                <a:pt x="1444" y="164"/>
                <a:pt x="1445" y="164"/>
                <a:pt x="1446" y="164"/>
              </a:cubicBezTo>
              <a:cubicBezTo>
                <a:pt x="1447" y="164"/>
                <a:pt x="1447" y="163"/>
                <a:pt x="1448" y="163"/>
              </a:cubicBezTo>
              <a:cubicBezTo>
                <a:pt x="1449" y="162"/>
                <a:pt x="1450" y="161"/>
                <a:pt x="1451" y="161"/>
              </a:cubicBezTo>
              <a:cubicBezTo>
                <a:pt x="1454" y="158"/>
                <a:pt x="1457" y="154"/>
                <a:pt x="1460" y="152"/>
              </a:cubicBezTo>
              <a:cubicBezTo>
                <a:pt x="1457" y="157"/>
                <a:pt x="1457" y="157"/>
                <a:pt x="1457" y="157"/>
              </a:cubicBezTo>
              <a:cubicBezTo>
                <a:pt x="1457" y="158"/>
                <a:pt x="1456" y="159"/>
                <a:pt x="1456" y="161"/>
              </a:cubicBezTo>
              <a:cubicBezTo>
                <a:pt x="1455" y="161"/>
                <a:pt x="1455" y="162"/>
                <a:pt x="1455" y="163"/>
              </a:cubicBezTo>
              <a:cubicBezTo>
                <a:pt x="1455" y="164"/>
                <a:pt x="1455" y="165"/>
                <a:pt x="1456" y="166"/>
              </a:cubicBezTo>
              <a:cubicBezTo>
                <a:pt x="1456" y="166"/>
                <a:pt x="1457" y="167"/>
                <a:pt x="1458" y="167"/>
              </a:cubicBezTo>
              <a:cubicBezTo>
                <a:pt x="1459" y="168"/>
                <a:pt x="1459" y="168"/>
                <a:pt x="1460" y="168"/>
              </a:cubicBezTo>
              <a:cubicBezTo>
                <a:pt x="1461" y="168"/>
                <a:pt x="1463" y="168"/>
                <a:pt x="1464" y="168"/>
              </a:cubicBezTo>
              <a:cubicBezTo>
                <a:pt x="1469" y="167"/>
                <a:pt x="1473" y="166"/>
                <a:pt x="1478" y="165"/>
              </a:cubicBezTo>
              <a:cubicBezTo>
                <a:pt x="1488" y="163"/>
                <a:pt x="1497" y="161"/>
                <a:pt x="1506" y="160"/>
              </a:cubicBezTo>
              <a:cubicBezTo>
                <a:pt x="1516" y="159"/>
                <a:pt x="1526" y="159"/>
                <a:pt x="1535" y="159"/>
              </a:cubicBezTo>
              <a:cubicBezTo>
                <a:pt x="1573" y="160"/>
                <a:pt x="1612" y="163"/>
                <a:pt x="1650" y="166"/>
              </a:cubicBezTo>
              <a:cubicBezTo>
                <a:pt x="1612" y="162"/>
                <a:pt x="1574" y="158"/>
                <a:pt x="1535" y="157"/>
              </a:cubicBezTo>
              <a:close/>
              <a:moveTo>
                <a:pt x="1045" y="74"/>
              </a:moveTo>
              <a:cubicBezTo>
                <a:pt x="1045" y="74"/>
                <a:pt x="1045" y="74"/>
                <a:pt x="1045" y="74"/>
              </a:cubicBezTo>
              <a:cubicBezTo>
                <a:pt x="1046" y="74"/>
                <a:pt x="1046" y="74"/>
                <a:pt x="1046" y="74"/>
              </a:cubicBezTo>
              <a:cubicBezTo>
                <a:pt x="1045" y="74"/>
                <a:pt x="1045" y="75"/>
                <a:pt x="1045" y="74"/>
              </a:cubicBezTo>
              <a:close/>
              <a:moveTo>
                <a:pt x="1081" y="25"/>
              </a:moveTo>
              <a:cubicBezTo>
                <a:pt x="1081" y="25"/>
                <a:pt x="1081" y="25"/>
                <a:pt x="1081" y="25"/>
              </a:cubicBezTo>
              <a:cubicBezTo>
                <a:pt x="1081" y="25"/>
                <a:pt x="1081" y="25"/>
                <a:pt x="1081" y="25"/>
              </a:cubicBezTo>
              <a:cubicBezTo>
                <a:pt x="1081" y="25"/>
                <a:pt x="1081" y="25"/>
                <a:pt x="1081" y="25"/>
              </a:cubicBezTo>
              <a:close/>
              <a:moveTo>
                <a:pt x="1084" y="30"/>
              </a:moveTo>
              <a:cubicBezTo>
                <a:pt x="1084" y="30"/>
                <a:pt x="1084" y="30"/>
                <a:pt x="1084" y="30"/>
              </a:cubicBezTo>
              <a:cubicBezTo>
                <a:pt x="1084" y="30"/>
                <a:pt x="1084" y="30"/>
                <a:pt x="1084" y="30"/>
              </a:cubicBezTo>
              <a:close/>
              <a:moveTo>
                <a:pt x="1084" y="30"/>
              </a:moveTo>
              <a:cubicBezTo>
                <a:pt x="1084" y="30"/>
                <a:pt x="1084" y="30"/>
                <a:pt x="1084" y="30"/>
              </a:cubicBezTo>
              <a:cubicBezTo>
                <a:pt x="1084" y="30"/>
                <a:pt x="1084" y="30"/>
                <a:pt x="1084" y="30"/>
              </a:cubicBezTo>
              <a:cubicBezTo>
                <a:pt x="1085" y="30"/>
                <a:pt x="1085" y="30"/>
                <a:pt x="1085" y="30"/>
              </a:cubicBezTo>
              <a:cubicBezTo>
                <a:pt x="1085" y="30"/>
                <a:pt x="1084" y="30"/>
                <a:pt x="1084" y="30"/>
              </a:cubicBezTo>
              <a:close/>
              <a:moveTo>
                <a:pt x="1123" y="130"/>
              </a:moveTo>
              <a:cubicBezTo>
                <a:pt x="1123" y="130"/>
                <a:pt x="1123" y="130"/>
                <a:pt x="1123" y="130"/>
              </a:cubicBezTo>
              <a:cubicBezTo>
                <a:pt x="1123" y="130"/>
                <a:pt x="1123" y="130"/>
                <a:pt x="1123" y="130"/>
              </a:cubicBezTo>
              <a:cubicBezTo>
                <a:pt x="1123" y="130"/>
                <a:pt x="1123" y="130"/>
                <a:pt x="1123" y="130"/>
              </a:cubicBezTo>
              <a:cubicBezTo>
                <a:pt x="1123" y="130"/>
                <a:pt x="1123" y="130"/>
                <a:pt x="1123" y="130"/>
              </a:cubicBezTo>
              <a:close/>
              <a:moveTo>
                <a:pt x="1270" y="167"/>
              </a:moveTo>
              <a:cubicBezTo>
                <a:pt x="1270" y="110"/>
                <a:pt x="1270" y="110"/>
                <a:pt x="1270" y="110"/>
              </a:cubicBezTo>
              <a:cubicBezTo>
                <a:pt x="1312" y="110"/>
                <a:pt x="1312" y="110"/>
                <a:pt x="1312" y="110"/>
              </a:cubicBezTo>
              <a:cubicBezTo>
                <a:pt x="1312" y="125"/>
                <a:pt x="1312" y="139"/>
                <a:pt x="1312" y="154"/>
              </a:cubicBezTo>
              <a:cubicBezTo>
                <a:pt x="1313" y="156"/>
                <a:pt x="1313" y="158"/>
                <a:pt x="1313" y="160"/>
              </a:cubicBezTo>
              <a:cubicBezTo>
                <a:pt x="1313" y="161"/>
                <a:pt x="1313" y="162"/>
                <a:pt x="1313" y="163"/>
              </a:cubicBezTo>
              <a:cubicBezTo>
                <a:pt x="1313" y="164"/>
                <a:pt x="1314" y="164"/>
                <a:pt x="1314" y="165"/>
              </a:cubicBezTo>
              <a:cubicBezTo>
                <a:pt x="1314" y="165"/>
                <a:pt x="1314" y="165"/>
                <a:pt x="1314" y="166"/>
              </a:cubicBezTo>
              <a:cubicBezTo>
                <a:pt x="1299" y="166"/>
                <a:pt x="1284" y="167"/>
                <a:pt x="1270" y="167"/>
              </a:cubicBezTo>
              <a:close/>
            </a:path>
          </a:pathLst>
        </a:custGeom>
        <a:ln/>
      </xdr:spPr>
      <xdr:style>
        <a:lnRef idx="2">
          <a:schemeClr val="accent1">
            <a:shade val="50000"/>
          </a:schemeClr>
        </a:lnRef>
        <a:fillRef idx="1">
          <a:schemeClr val="accent1"/>
        </a:fillRef>
        <a:effectRef idx="0">
          <a:schemeClr val="accent1"/>
        </a:effectRef>
        <a:fontRef idx="minor">
          <a:schemeClr val="lt1"/>
        </a:fontRef>
      </xdr:style>
    </xdr:sp>
    <xdr:clientData/>
  </xdr:twoCellAnchor>
  <xdr:twoCellAnchor>
    <xdr:from>
      <xdr:col>11</xdr:col>
      <xdr:colOff>400050</xdr:colOff>
      <xdr:row>3</xdr:row>
      <xdr:rowOff>9525</xdr:rowOff>
    </xdr:from>
    <xdr:to>
      <xdr:col>13</xdr:col>
      <xdr:colOff>323850</xdr:colOff>
      <xdr:row>4</xdr:row>
      <xdr:rowOff>0</xdr:rowOff>
    </xdr:to>
    <xdr:sp macro="" textlink="">
      <xdr:nvSpPr>
        <xdr:cNvPr id="4" name="Légende encadrée avec une bordure 3 3">
          <a:hlinkClick xmlns:r="http://schemas.openxmlformats.org/officeDocument/2006/relationships" r:id="rId1"/>
          <a:extLst>
            <a:ext uri="{FF2B5EF4-FFF2-40B4-BE49-F238E27FC236}">
              <a16:creationId xmlns:a16="http://schemas.microsoft.com/office/drawing/2014/main" id="{00000000-0008-0000-0100-000004000000}"/>
            </a:ext>
          </a:extLst>
        </xdr:cNvPr>
        <xdr:cNvSpPr/>
      </xdr:nvSpPr>
      <xdr:spPr>
        <a:xfrm>
          <a:off x="10448925" y="733425"/>
          <a:ext cx="1762125" cy="247650"/>
        </a:xfrm>
        <a:prstGeom prst="accentBorderCallout3">
          <a:avLst/>
        </a:prstGeom>
        <a:solidFill>
          <a:schemeClr val="accent1">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400">
              <a:solidFill>
                <a:schemeClr val="tx2"/>
              </a:solidFill>
              <a:latin typeface="Gill Sans MT" panose="020B0502020104020203" pitchFamily="34" charset="0"/>
            </a:rPr>
            <a:t>GO HOME</a:t>
          </a:r>
        </a:p>
      </xdr:txBody>
    </xdr:sp>
    <xdr:clientData/>
  </xdr:twoCellAnchor>
  <xdr:twoCellAnchor>
    <xdr:from>
      <xdr:col>13</xdr:col>
      <xdr:colOff>571500</xdr:colOff>
      <xdr:row>3</xdr:row>
      <xdr:rowOff>19050</xdr:rowOff>
    </xdr:from>
    <xdr:to>
      <xdr:col>15</xdr:col>
      <xdr:colOff>504825</xdr:colOff>
      <xdr:row>4</xdr:row>
      <xdr:rowOff>9525</xdr:rowOff>
    </xdr:to>
    <xdr:sp macro="" textlink="">
      <xdr:nvSpPr>
        <xdr:cNvPr id="5" name="Légende encadrée avec une bordure 3 4">
          <a:hlinkClick xmlns:r="http://schemas.openxmlformats.org/officeDocument/2006/relationships" r:id="rId2"/>
          <a:extLst>
            <a:ext uri="{FF2B5EF4-FFF2-40B4-BE49-F238E27FC236}">
              <a16:creationId xmlns:a16="http://schemas.microsoft.com/office/drawing/2014/main" id="{00000000-0008-0000-0100-000005000000}"/>
            </a:ext>
          </a:extLst>
        </xdr:cNvPr>
        <xdr:cNvSpPr/>
      </xdr:nvSpPr>
      <xdr:spPr>
        <a:xfrm>
          <a:off x="12458700" y="742950"/>
          <a:ext cx="1762125" cy="247650"/>
        </a:xfrm>
        <a:prstGeom prst="accentBorderCallout3">
          <a:avLst/>
        </a:prstGeom>
        <a:solidFill>
          <a:schemeClr val="accent1">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400">
              <a:solidFill>
                <a:schemeClr val="tx2"/>
              </a:solidFill>
              <a:latin typeface="Gill Sans MT" panose="020B0502020104020203" pitchFamily="34" charset="0"/>
            </a:rPr>
            <a:t>GRAPHES</a:t>
          </a:r>
        </a:p>
      </xdr:txBody>
    </xdr:sp>
    <xdr:clientData/>
  </xdr:twoCellAnchor>
  <xdr:twoCellAnchor>
    <xdr:from>
      <xdr:col>1</xdr:col>
      <xdr:colOff>28575</xdr:colOff>
      <xdr:row>23</xdr:row>
      <xdr:rowOff>133350</xdr:rowOff>
    </xdr:from>
    <xdr:to>
      <xdr:col>1</xdr:col>
      <xdr:colOff>1790700</xdr:colOff>
      <xdr:row>24</xdr:row>
      <xdr:rowOff>133350</xdr:rowOff>
    </xdr:to>
    <xdr:sp macro="" textlink="">
      <xdr:nvSpPr>
        <xdr:cNvPr id="6" name="Légende encadrée avec une bordure 3 5">
          <a:hlinkClick xmlns:r="http://schemas.openxmlformats.org/officeDocument/2006/relationships" r:id="rId3"/>
          <a:extLst>
            <a:ext uri="{FF2B5EF4-FFF2-40B4-BE49-F238E27FC236}">
              <a16:creationId xmlns:a16="http://schemas.microsoft.com/office/drawing/2014/main" id="{00000000-0008-0000-0100-000006000000}"/>
            </a:ext>
          </a:extLst>
        </xdr:cNvPr>
        <xdr:cNvSpPr/>
      </xdr:nvSpPr>
      <xdr:spPr>
        <a:xfrm>
          <a:off x="200025" y="6038850"/>
          <a:ext cx="1762125" cy="247650"/>
        </a:xfrm>
        <a:prstGeom prst="accentBorderCallout3">
          <a:avLst/>
        </a:prstGeom>
        <a:solidFill>
          <a:schemeClr val="accent1">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400">
              <a:solidFill>
                <a:schemeClr val="tx2"/>
              </a:solidFill>
              <a:latin typeface="Gill Sans MT" panose="020B0502020104020203" pitchFamily="34" charset="0"/>
            </a:rPr>
            <a:t>DETAILS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272143</xdr:colOff>
      <xdr:row>15</xdr:row>
      <xdr:rowOff>266246</xdr:rowOff>
    </xdr:from>
    <xdr:to>
      <xdr:col>14</xdr:col>
      <xdr:colOff>801494</xdr:colOff>
      <xdr:row>34</xdr:row>
      <xdr:rowOff>298944</xdr:rowOff>
    </xdr:to>
    <xdr:graphicFrame macro="">
      <xdr:nvGraphicFramePr>
        <xdr:cNvPr id="2" name="Graphique 1">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xdr:col>
      <xdr:colOff>263979</xdr:colOff>
      <xdr:row>6</xdr:row>
      <xdr:rowOff>120197</xdr:rowOff>
    </xdr:from>
    <xdr:to>
      <xdr:col>14</xdr:col>
      <xdr:colOff>801494</xdr:colOff>
      <xdr:row>15</xdr:row>
      <xdr:rowOff>110672</xdr:rowOff>
    </xdr:to>
    <xdr:graphicFrame macro="">
      <xdr:nvGraphicFramePr>
        <xdr:cNvPr id="6" name="Graphique 5">
          <a:extLst>
            <a:ext uri="{FF2B5EF4-FFF2-40B4-BE49-F238E27FC236}">
              <a16:creationId xmlns:a16="http://schemas.microsoft.com/office/drawing/2014/main" id="{00000000-0008-0000-0300-00000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15</xdr:col>
      <xdr:colOff>324400</xdr:colOff>
      <xdr:row>9</xdr:row>
      <xdr:rowOff>101484</xdr:rowOff>
    </xdr:from>
    <xdr:to>
      <xdr:col>17</xdr:col>
      <xdr:colOff>282264</xdr:colOff>
      <xdr:row>11</xdr:row>
      <xdr:rowOff>130099</xdr:rowOff>
    </xdr:to>
    <xdr:sp macro="" textlink="">
      <xdr:nvSpPr>
        <xdr:cNvPr id="8" name="ZoneTexte 7">
          <a:hlinkClick xmlns:r="http://schemas.openxmlformats.org/officeDocument/2006/relationships" r:id="rId3"/>
          <a:extLst>
            <a:ext uri="{FF2B5EF4-FFF2-40B4-BE49-F238E27FC236}">
              <a16:creationId xmlns:a16="http://schemas.microsoft.com/office/drawing/2014/main" id="{00000000-0008-0000-0300-000008000000}"/>
            </a:ext>
          </a:extLst>
        </xdr:cNvPr>
        <xdr:cNvSpPr txBox="1"/>
      </xdr:nvSpPr>
      <xdr:spPr>
        <a:xfrm>
          <a:off x="15314369" y="2030297"/>
          <a:ext cx="2374833" cy="42152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800">
              <a:latin typeface="Gill Sans MT" panose="020B0502020104020203" pitchFamily="34" charset="0"/>
            </a:rPr>
            <a:t>Détails des Dépenses</a:t>
          </a:r>
        </a:p>
      </xdr:txBody>
    </xdr:sp>
    <xdr:clientData/>
  </xdr:twoCellAnchor>
  <xdr:twoCellAnchor>
    <xdr:from>
      <xdr:col>15</xdr:col>
      <xdr:colOff>1417134</xdr:colOff>
      <xdr:row>6</xdr:row>
      <xdr:rowOff>217363</xdr:rowOff>
    </xdr:from>
    <xdr:to>
      <xdr:col>15</xdr:col>
      <xdr:colOff>1636099</xdr:colOff>
      <xdr:row>8</xdr:row>
      <xdr:rowOff>148335</xdr:rowOff>
    </xdr:to>
    <xdr:sp macro="" textlink="">
      <xdr:nvSpPr>
        <xdr:cNvPr id="9" name="Flèche vers le bas 8">
          <a:extLst>
            <a:ext uri="{FF2B5EF4-FFF2-40B4-BE49-F238E27FC236}">
              <a16:creationId xmlns:a16="http://schemas.microsoft.com/office/drawing/2014/main" id="{00000000-0008-0000-0300-000009000000}"/>
            </a:ext>
          </a:extLst>
        </xdr:cNvPr>
        <xdr:cNvSpPr/>
      </xdr:nvSpPr>
      <xdr:spPr>
        <a:xfrm>
          <a:off x="16378354" y="1576418"/>
          <a:ext cx="218965" cy="383990"/>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14</xdr:col>
      <xdr:colOff>142327</xdr:colOff>
      <xdr:row>1</xdr:row>
      <xdr:rowOff>76638</xdr:rowOff>
    </xdr:from>
    <xdr:to>
      <xdr:col>15</xdr:col>
      <xdr:colOff>678793</xdr:colOff>
      <xdr:row>1</xdr:row>
      <xdr:rowOff>361292</xdr:rowOff>
    </xdr:to>
    <xdr:sp macro="" textlink="">
      <xdr:nvSpPr>
        <xdr:cNvPr id="10" name="Légende encadrée avec une bordure 3 9">
          <a:hlinkClick xmlns:r="http://schemas.openxmlformats.org/officeDocument/2006/relationships" r:id="rId4"/>
          <a:extLst>
            <a:ext uri="{FF2B5EF4-FFF2-40B4-BE49-F238E27FC236}">
              <a16:creationId xmlns:a16="http://schemas.microsoft.com/office/drawing/2014/main" id="{00000000-0008-0000-0300-00000A000000}"/>
            </a:ext>
          </a:extLst>
        </xdr:cNvPr>
        <xdr:cNvSpPr/>
      </xdr:nvSpPr>
      <xdr:spPr>
        <a:xfrm>
          <a:off x="12973706" y="186121"/>
          <a:ext cx="2167759" cy="284654"/>
        </a:xfrm>
        <a:prstGeom prst="accentBorderCallout3">
          <a:avLst/>
        </a:prstGeom>
        <a:solidFill>
          <a:schemeClr val="accent3">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600">
              <a:solidFill>
                <a:schemeClr val="tx2"/>
              </a:solidFill>
              <a:latin typeface="Gill Sans MT" panose="020B0502020104020203" pitchFamily="34" charset="0"/>
            </a:rPr>
            <a:t>GO HOME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6</xdr:col>
      <xdr:colOff>190500</xdr:colOff>
      <xdr:row>0</xdr:row>
      <xdr:rowOff>0</xdr:rowOff>
    </xdr:from>
    <xdr:to>
      <xdr:col>13</xdr:col>
      <xdr:colOff>990595</xdr:colOff>
      <xdr:row>1</xdr:row>
      <xdr:rowOff>473816</xdr:rowOff>
    </xdr:to>
    <xdr:sp macro="" textlink="">
      <xdr:nvSpPr>
        <xdr:cNvPr id="2" name="Illustration d’en-tête" descr="Tracés d’un arbre et d’une maison" title="Illustration Budget">
          <a:extLst>
            <a:ext uri="{FF2B5EF4-FFF2-40B4-BE49-F238E27FC236}">
              <a16:creationId xmlns:a16="http://schemas.microsoft.com/office/drawing/2014/main" id="{00000000-0008-0000-0400-000002000000}"/>
            </a:ext>
          </a:extLst>
        </xdr:cNvPr>
        <xdr:cNvSpPr>
          <a:spLocks noChangeAspect="1" noEditPoints="1"/>
        </xdr:cNvSpPr>
      </xdr:nvSpPr>
      <xdr:spPr bwMode="auto">
        <a:xfrm>
          <a:off x="6000750" y="0"/>
          <a:ext cx="6877045" cy="588116"/>
        </a:xfrm>
        <a:custGeom>
          <a:avLst/>
          <a:gdLst>
            <a:gd name="T0" fmla="*/ 1465 w 1650"/>
            <a:gd name="T1" fmla="*/ 151 h 173"/>
            <a:gd name="T2" fmla="*/ 1448 w 1650"/>
            <a:gd name="T3" fmla="*/ 156 h 173"/>
            <a:gd name="T4" fmla="*/ 1454 w 1650"/>
            <a:gd name="T5" fmla="*/ 139 h 173"/>
            <a:gd name="T6" fmla="*/ 1424 w 1650"/>
            <a:gd name="T7" fmla="*/ 164 h 173"/>
            <a:gd name="T8" fmla="*/ 1422 w 1650"/>
            <a:gd name="T9" fmla="*/ 105 h 173"/>
            <a:gd name="T10" fmla="*/ 1348 w 1650"/>
            <a:gd name="T11" fmla="*/ 39 h 173"/>
            <a:gd name="T12" fmla="*/ 1200 w 1650"/>
            <a:gd name="T13" fmla="*/ 80 h 173"/>
            <a:gd name="T14" fmla="*/ 1175 w 1650"/>
            <a:gd name="T15" fmla="*/ 116 h 173"/>
            <a:gd name="T16" fmla="*/ 1188 w 1650"/>
            <a:gd name="T17" fmla="*/ 165 h 173"/>
            <a:gd name="T18" fmla="*/ 1127 w 1650"/>
            <a:gd name="T19" fmla="*/ 153 h 173"/>
            <a:gd name="T20" fmla="*/ 1126 w 1650"/>
            <a:gd name="T21" fmla="*/ 136 h 173"/>
            <a:gd name="T22" fmla="*/ 1128 w 1650"/>
            <a:gd name="T23" fmla="*/ 127 h 173"/>
            <a:gd name="T24" fmla="*/ 1123 w 1650"/>
            <a:gd name="T25" fmla="*/ 110 h 173"/>
            <a:gd name="T26" fmla="*/ 1108 w 1650"/>
            <a:gd name="T27" fmla="*/ 85 h 173"/>
            <a:gd name="T28" fmla="*/ 1110 w 1650"/>
            <a:gd name="T29" fmla="*/ 72 h 173"/>
            <a:gd name="T30" fmla="*/ 1092 w 1650"/>
            <a:gd name="T31" fmla="*/ 38 h 173"/>
            <a:gd name="T32" fmla="*/ 1085 w 1650"/>
            <a:gd name="T33" fmla="*/ 32 h 173"/>
            <a:gd name="T34" fmla="*/ 1078 w 1650"/>
            <a:gd name="T35" fmla="*/ 12 h 173"/>
            <a:gd name="T36" fmla="*/ 1071 w 1650"/>
            <a:gd name="T37" fmla="*/ 13 h 173"/>
            <a:gd name="T38" fmla="*/ 1057 w 1650"/>
            <a:gd name="T39" fmla="*/ 36 h 173"/>
            <a:gd name="T40" fmla="*/ 1058 w 1650"/>
            <a:gd name="T41" fmla="*/ 44 h 173"/>
            <a:gd name="T42" fmla="*/ 1040 w 1650"/>
            <a:gd name="T43" fmla="*/ 72 h 173"/>
            <a:gd name="T44" fmla="*/ 1041 w 1650"/>
            <a:gd name="T45" fmla="*/ 80 h 173"/>
            <a:gd name="T46" fmla="*/ 1036 w 1650"/>
            <a:gd name="T47" fmla="*/ 100 h 173"/>
            <a:gd name="T48" fmla="*/ 1031 w 1650"/>
            <a:gd name="T49" fmla="*/ 106 h 173"/>
            <a:gd name="T50" fmla="*/ 1028 w 1650"/>
            <a:gd name="T51" fmla="*/ 133 h 173"/>
            <a:gd name="T52" fmla="*/ 1022 w 1650"/>
            <a:gd name="T53" fmla="*/ 149 h 173"/>
            <a:gd name="T54" fmla="*/ 534 w 1650"/>
            <a:gd name="T55" fmla="*/ 125 h 173"/>
            <a:gd name="T56" fmla="*/ 467 w 1650"/>
            <a:gd name="T57" fmla="*/ 128 h 173"/>
            <a:gd name="T58" fmla="*/ 1042 w 1650"/>
            <a:gd name="T59" fmla="*/ 148 h 173"/>
            <a:gd name="T60" fmla="*/ 1034 w 1650"/>
            <a:gd name="T61" fmla="*/ 134 h 173"/>
            <a:gd name="T62" fmla="*/ 1038 w 1650"/>
            <a:gd name="T63" fmla="*/ 107 h 173"/>
            <a:gd name="T64" fmla="*/ 1043 w 1650"/>
            <a:gd name="T65" fmla="*/ 102 h 173"/>
            <a:gd name="T66" fmla="*/ 1050 w 1650"/>
            <a:gd name="T67" fmla="*/ 80 h 173"/>
            <a:gd name="T68" fmla="*/ 1048 w 1650"/>
            <a:gd name="T69" fmla="*/ 71 h 173"/>
            <a:gd name="T70" fmla="*/ 1065 w 1650"/>
            <a:gd name="T71" fmla="*/ 44 h 173"/>
            <a:gd name="T72" fmla="*/ 1065 w 1650"/>
            <a:gd name="T73" fmla="*/ 36 h 173"/>
            <a:gd name="T74" fmla="*/ 1078 w 1650"/>
            <a:gd name="T75" fmla="*/ 25 h 173"/>
            <a:gd name="T76" fmla="*/ 1084 w 1650"/>
            <a:gd name="T77" fmla="*/ 38 h 173"/>
            <a:gd name="T78" fmla="*/ 1104 w 1650"/>
            <a:gd name="T79" fmla="*/ 75 h 173"/>
            <a:gd name="T80" fmla="*/ 1103 w 1650"/>
            <a:gd name="T81" fmla="*/ 87 h 173"/>
            <a:gd name="T82" fmla="*/ 1114 w 1650"/>
            <a:gd name="T83" fmla="*/ 117 h 173"/>
            <a:gd name="T84" fmla="*/ 1122 w 1650"/>
            <a:gd name="T85" fmla="*/ 128 h 173"/>
            <a:gd name="T86" fmla="*/ 1124 w 1650"/>
            <a:gd name="T87" fmla="*/ 147 h 173"/>
            <a:gd name="T88" fmla="*/ 1129 w 1650"/>
            <a:gd name="T89" fmla="*/ 169 h 173"/>
            <a:gd name="T90" fmla="*/ 1197 w 1650"/>
            <a:gd name="T91" fmla="*/ 169 h 173"/>
            <a:gd name="T92" fmla="*/ 1186 w 1650"/>
            <a:gd name="T93" fmla="*/ 108 h 173"/>
            <a:gd name="T94" fmla="*/ 1274 w 1650"/>
            <a:gd name="T95" fmla="*/ 21 h 173"/>
            <a:gd name="T96" fmla="*/ 1403 w 1650"/>
            <a:gd name="T97" fmla="*/ 102 h 173"/>
            <a:gd name="T98" fmla="*/ 1388 w 1650"/>
            <a:gd name="T99" fmla="*/ 118 h 173"/>
            <a:gd name="T100" fmla="*/ 1319 w 1650"/>
            <a:gd name="T101" fmla="*/ 162 h 173"/>
            <a:gd name="T102" fmla="*/ 1264 w 1650"/>
            <a:gd name="T103" fmla="*/ 170 h 173"/>
            <a:gd name="T104" fmla="*/ 1398 w 1650"/>
            <a:gd name="T105" fmla="*/ 170 h 173"/>
            <a:gd name="T106" fmla="*/ 1436 w 1650"/>
            <a:gd name="T107" fmla="*/ 157 h 173"/>
            <a:gd name="T108" fmla="*/ 1443 w 1650"/>
            <a:gd name="T109" fmla="*/ 163 h 173"/>
            <a:gd name="T110" fmla="*/ 1456 w 1650"/>
            <a:gd name="T111" fmla="*/ 166 h 173"/>
            <a:gd name="T112" fmla="*/ 1045 w 1650"/>
            <a:gd name="T113" fmla="*/ 74 h 173"/>
            <a:gd name="T114" fmla="*/ 1084 w 1650"/>
            <a:gd name="T115" fmla="*/ 30 h 173"/>
            <a:gd name="T116" fmla="*/ 1123 w 1650"/>
            <a:gd name="T117" fmla="*/ 130 h 173"/>
            <a:gd name="T118" fmla="*/ 1314 w 1650"/>
            <a:gd name="T119" fmla="*/ 165 h 17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Lst>
          <a:rect l="0" t="0" r="r" b="b"/>
          <a:pathLst>
            <a:path w="1650" h="173">
              <a:moveTo>
                <a:pt x="1535" y="157"/>
              </a:moveTo>
              <a:cubicBezTo>
                <a:pt x="1526" y="157"/>
                <a:pt x="1516" y="157"/>
                <a:pt x="1506" y="158"/>
              </a:cubicBezTo>
              <a:cubicBezTo>
                <a:pt x="1497" y="159"/>
                <a:pt x="1487" y="160"/>
                <a:pt x="1478" y="162"/>
              </a:cubicBezTo>
              <a:cubicBezTo>
                <a:pt x="1473" y="163"/>
                <a:pt x="1468" y="164"/>
                <a:pt x="1464" y="165"/>
              </a:cubicBezTo>
              <a:cubicBezTo>
                <a:pt x="1461" y="165"/>
                <a:pt x="1459" y="165"/>
                <a:pt x="1458" y="164"/>
              </a:cubicBezTo>
              <a:cubicBezTo>
                <a:pt x="1458" y="163"/>
                <a:pt x="1458" y="163"/>
                <a:pt x="1459" y="162"/>
              </a:cubicBezTo>
              <a:cubicBezTo>
                <a:pt x="1459" y="161"/>
                <a:pt x="1460" y="160"/>
                <a:pt x="1460" y="159"/>
              </a:cubicBezTo>
              <a:cubicBezTo>
                <a:pt x="1464" y="153"/>
                <a:pt x="1464" y="153"/>
                <a:pt x="1464" y="153"/>
              </a:cubicBezTo>
              <a:cubicBezTo>
                <a:pt x="1464" y="152"/>
                <a:pt x="1464" y="151"/>
                <a:pt x="1465" y="151"/>
              </a:cubicBezTo>
              <a:cubicBezTo>
                <a:pt x="1465" y="150"/>
                <a:pt x="1465" y="150"/>
                <a:pt x="1465" y="150"/>
              </a:cubicBezTo>
              <a:cubicBezTo>
                <a:pt x="1465" y="149"/>
                <a:pt x="1465" y="149"/>
                <a:pt x="1465" y="148"/>
              </a:cubicBezTo>
              <a:cubicBezTo>
                <a:pt x="1464" y="146"/>
                <a:pt x="1463" y="146"/>
                <a:pt x="1462" y="146"/>
              </a:cubicBezTo>
              <a:cubicBezTo>
                <a:pt x="1462" y="146"/>
                <a:pt x="1461" y="147"/>
                <a:pt x="1461" y="147"/>
              </a:cubicBezTo>
              <a:cubicBezTo>
                <a:pt x="1460" y="147"/>
                <a:pt x="1460" y="148"/>
                <a:pt x="1459" y="148"/>
              </a:cubicBezTo>
              <a:cubicBezTo>
                <a:pt x="1455" y="151"/>
                <a:pt x="1452" y="155"/>
                <a:pt x="1448" y="158"/>
              </a:cubicBezTo>
              <a:cubicBezTo>
                <a:pt x="1448" y="158"/>
                <a:pt x="1447" y="159"/>
                <a:pt x="1446" y="159"/>
              </a:cubicBezTo>
              <a:cubicBezTo>
                <a:pt x="1446" y="159"/>
                <a:pt x="1446" y="159"/>
                <a:pt x="1447" y="159"/>
              </a:cubicBezTo>
              <a:cubicBezTo>
                <a:pt x="1447" y="158"/>
                <a:pt x="1448" y="157"/>
                <a:pt x="1448" y="156"/>
              </a:cubicBezTo>
              <a:cubicBezTo>
                <a:pt x="1451" y="152"/>
                <a:pt x="1454" y="149"/>
                <a:pt x="1457" y="144"/>
              </a:cubicBezTo>
              <a:cubicBezTo>
                <a:pt x="1457" y="144"/>
                <a:pt x="1458" y="143"/>
                <a:pt x="1458" y="142"/>
              </a:cubicBezTo>
              <a:cubicBezTo>
                <a:pt x="1458" y="141"/>
                <a:pt x="1458" y="140"/>
                <a:pt x="1457" y="140"/>
              </a:cubicBezTo>
              <a:cubicBezTo>
                <a:pt x="1457" y="139"/>
                <a:pt x="1456" y="139"/>
                <a:pt x="1456" y="139"/>
              </a:cubicBezTo>
              <a:cubicBezTo>
                <a:pt x="1455" y="139"/>
                <a:pt x="1455" y="139"/>
                <a:pt x="1455" y="139"/>
              </a:cubicBezTo>
              <a:cubicBezTo>
                <a:pt x="1455" y="139"/>
                <a:pt x="1455" y="139"/>
                <a:pt x="1455" y="139"/>
              </a:cubicBezTo>
              <a:cubicBezTo>
                <a:pt x="1455" y="139"/>
                <a:pt x="1455" y="139"/>
                <a:pt x="1455" y="139"/>
              </a:cubicBezTo>
              <a:cubicBezTo>
                <a:pt x="1455" y="139"/>
                <a:pt x="1455" y="139"/>
                <a:pt x="1455" y="139"/>
              </a:cubicBezTo>
              <a:cubicBezTo>
                <a:pt x="1454" y="139"/>
                <a:pt x="1455" y="139"/>
                <a:pt x="1454" y="139"/>
              </a:cubicBezTo>
              <a:cubicBezTo>
                <a:pt x="1454" y="139"/>
                <a:pt x="1454" y="139"/>
                <a:pt x="1454" y="139"/>
              </a:cubicBezTo>
              <a:cubicBezTo>
                <a:pt x="1453" y="139"/>
                <a:pt x="1451" y="139"/>
                <a:pt x="1450" y="140"/>
              </a:cubicBezTo>
              <a:cubicBezTo>
                <a:pt x="1448" y="141"/>
                <a:pt x="1446" y="142"/>
                <a:pt x="1444" y="144"/>
              </a:cubicBezTo>
              <a:cubicBezTo>
                <a:pt x="1440" y="147"/>
                <a:pt x="1436" y="150"/>
                <a:pt x="1433" y="154"/>
              </a:cubicBezTo>
              <a:cubicBezTo>
                <a:pt x="1431" y="156"/>
                <a:pt x="1429" y="158"/>
                <a:pt x="1428" y="160"/>
              </a:cubicBezTo>
              <a:cubicBezTo>
                <a:pt x="1426" y="162"/>
                <a:pt x="1426" y="162"/>
                <a:pt x="1426" y="162"/>
              </a:cubicBezTo>
              <a:cubicBezTo>
                <a:pt x="1424" y="164"/>
                <a:pt x="1424" y="164"/>
                <a:pt x="1424" y="164"/>
              </a:cubicBezTo>
              <a:cubicBezTo>
                <a:pt x="1424" y="164"/>
                <a:pt x="1424" y="164"/>
                <a:pt x="1424" y="164"/>
              </a:cubicBezTo>
              <a:cubicBezTo>
                <a:pt x="1424" y="164"/>
                <a:pt x="1424" y="164"/>
                <a:pt x="1424" y="164"/>
              </a:cubicBezTo>
              <a:cubicBezTo>
                <a:pt x="1423" y="164"/>
                <a:pt x="1420" y="164"/>
                <a:pt x="1418" y="164"/>
              </a:cubicBezTo>
              <a:cubicBezTo>
                <a:pt x="1411" y="164"/>
                <a:pt x="1411" y="164"/>
                <a:pt x="1411" y="164"/>
              </a:cubicBezTo>
              <a:cubicBezTo>
                <a:pt x="1398" y="164"/>
                <a:pt x="1398" y="164"/>
                <a:pt x="1398" y="164"/>
              </a:cubicBezTo>
              <a:cubicBezTo>
                <a:pt x="1396" y="149"/>
                <a:pt x="1395" y="133"/>
                <a:pt x="1394" y="118"/>
              </a:cubicBezTo>
              <a:cubicBezTo>
                <a:pt x="1394" y="112"/>
                <a:pt x="1394" y="112"/>
                <a:pt x="1394" y="112"/>
              </a:cubicBezTo>
              <a:cubicBezTo>
                <a:pt x="1394" y="110"/>
                <a:pt x="1394" y="110"/>
                <a:pt x="1394" y="110"/>
              </a:cubicBezTo>
              <a:cubicBezTo>
                <a:pt x="1397" y="109"/>
                <a:pt x="1401" y="109"/>
                <a:pt x="1404" y="108"/>
              </a:cubicBezTo>
              <a:cubicBezTo>
                <a:pt x="1408" y="108"/>
                <a:pt x="1412" y="107"/>
                <a:pt x="1416" y="106"/>
              </a:cubicBezTo>
              <a:cubicBezTo>
                <a:pt x="1418" y="106"/>
                <a:pt x="1420" y="105"/>
                <a:pt x="1422" y="105"/>
              </a:cubicBezTo>
              <a:cubicBezTo>
                <a:pt x="1422" y="104"/>
                <a:pt x="1423" y="104"/>
                <a:pt x="1424" y="104"/>
              </a:cubicBezTo>
              <a:cubicBezTo>
                <a:pt x="1424" y="104"/>
                <a:pt x="1424" y="104"/>
                <a:pt x="1425" y="103"/>
              </a:cubicBezTo>
              <a:cubicBezTo>
                <a:pt x="1425" y="103"/>
                <a:pt x="1426" y="102"/>
                <a:pt x="1426" y="102"/>
              </a:cubicBezTo>
              <a:cubicBezTo>
                <a:pt x="1426" y="101"/>
                <a:pt x="1426" y="100"/>
                <a:pt x="1426" y="100"/>
              </a:cubicBezTo>
              <a:cubicBezTo>
                <a:pt x="1426" y="98"/>
                <a:pt x="1425" y="98"/>
                <a:pt x="1425" y="97"/>
              </a:cubicBezTo>
              <a:cubicBezTo>
                <a:pt x="1424" y="97"/>
                <a:pt x="1424" y="96"/>
                <a:pt x="1424" y="96"/>
              </a:cubicBezTo>
              <a:cubicBezTo>
                <a:pt x="1417" y="90"/>
                <a:pt x="1411" y="86"/>
                <a:pt x="1405" y="81"/>
              </a:cubicBezTo>
              <a:cubicBezTo>
                <a:pt x="1398" y="77"/>
                <a:pt x="1392" y="72"/>
                <a:pt x="1386" y="67"/>
              </a:cubicBezTo>
              <a:cubicBezTo>
                <a:pt x="1374" y="58"/>
                <a:pt x="1361" y="49"/>
                <a:pt x="1348" y="39"/>
              </a:cubicBezTo>
              <a:cubicBezTo>
                <a:pt x="1336" y="31"/>
                <a:pt x="1326" y="18"/>
                <a:pt x="1313" y="8"/>
              </a:cubicBezTo>
              <a:cubicBezTo>
                <a:pt x="1310" y="6"/>
                <a:pt x="1307" y="4"/>
                <a:pt x="1303" y="2"/>
              </a:cubicBezTo>
              <a:cubicBezTo>
                <a:pt x="1298" y="0"/>
                <a:pt x="1293" y="1"/>
                <a:pt x="1289" y="2"/>
              </a:cubicBezTo>
              <a:cubicBezTo>
                <a:pt x="1281" y="6"/>
                <a:pt x="1275" y="12"/>
                <a:pt x="1269" y="17"/>
              </a:cubicBezTo>
              <a:cubicBezTo>
                <a:pt x="1267" y="20"/>
                <a:pt x="1264" y="23"/>
                <a:pt x="1261" y="25"/>
              </a:cubicBezTo>
              <a:cubicBezTo>
                <a:pt x="1253" y="33"/>
                <a:pt x="1253" y="33"/>
                <a:pt x="1253" y="33"/>
              </a:cubicBezTo>
              <a:cubicBezTo>
                <a:pt x="1235" y="49"/>
                <a:pt x="1235" y="49"/>
                <a:pt x="1235" y="49"/>
              </a:cubicBezTo>
              <a:cubicBezTo>
                <a:pt x="1218" y="64"/>
                <a:pt x="1218" y="64"/>
                <a:pt x="1218" y="64"/>
              </a:cubicBezTo>
              <a:cubicBezTo>
                <a:pt x="1212" y="70"/>
                <a:pt x="1206" y="75"/>
                <a:pt x="1200" y="80"/>
              </a:cubicBezTo>
              <a:cubicBezTo>
                <a:pt x="1194" y="85"/>
                <a:pt x="1188" y="90"/>
                <a:pt x="1182" y="95"/>
              </a:cubicBezTo>
              <a:cubicBezTo>
                <a:pt x="1179" y="98"/>
                <a:pt x="1176" y="100"/>
                <a:pt x="1174" y="103"/>
              </a:cubicBezTo>
              <a:cubicBezTo>
                <a:pt x="1172" y="105"/>
                <a:pt x="1171" y="106"/>
                <a:pt x="1169" y="108"/>
              </a:cubicBezTo>
              <a:cubicBezTo>
                <a:pt x="1169" y="109"/>
                <a:pt x="1169" y="109"/>
                <a:pt x="1168" y="110"/>
              </a:cubicBezTo>
              <a:cubicBezTo>
                <a:pt x="1168" y="111"/>
                <a:pt x="1168" y="111"/>
                <a:pt x="1168" y="113"/>
              </a:cubicBezTo>
              <a:cubicBezTo>
                <a:pt x="1169" y="113"/>
                <a:pt x="1170" y="114"/>
                <a:pt x="1169" y="114"/>
              </a:cubicBezTo>
              <a:cubicBezTo>
                <a:pt x="1169" y="114"/>
                <a:pt x="1170" y="115"/>
                <a:pt x="1170" y="115"/>
              </a:cubicBezTo>
              <a:cubicBezTo>
                <a:pt x="1170" y="115"/>
                <a:pt x="1170" y="115"/>
                <a:pt x="1170" y="115"/>
              </a:cubicBezTo>
              <a:cubicBezTo>
                <a:pt x="1172" y="116"/>
                <a:pt x="1173" y="116"/>
                <a:pt x="1175" y="116"/>
              </a:cubicBezTo>
              <a:cubicBezTo>
                <a:pt x="1179" y="116"/>
                <a:pt x="1183" y="115"/>
                <a:pt x="1187" y="114"/>
              </a:cubicBezTo>
              <a:cubicBezTo>
                <a:pt x="1188" y="114"/>
                <a:pt x="1190" y="114"/>
                <a:pt x="1191" y="114"/>
              </a:cubicBezTo>
              <a:cubicBezTo>
                <a:pt x="1191" y="114"/>
                <a:pt x="1191" y="114"/>
                <a:pt x="1192" y="115"/>
              </a:cubicBezTo>
              <a:cubicBezTo>
                <a:pt x="1192" y="115"/>
                <a:pt x="1192" y="115"/>
                <a:pt x="1192" y="115"/>
              </a:cubicBezTo>
              <a:cubicBezTo>
                <a:pt x="1192" y="115"/>
                <a:pt x="1192" y="116"/>
                <a:pt x="1192" y="117"/>
              </a:cubicBezTo>
              <a:cubicBezTo>
                <a:pt x="1194" y="123"/>
                <a:pt x="1194" y="131"/>
                <a:pt x="1194" y="139"/>
              </a:cubicBezTo>
              <a:cubicBezTo>
                <a:pt x="1194" y="147"/>
                <a:pt x="1194" y="155"/>
                <a:pt x="1193" y="162"/>
              </a:cubicBezTo>
              <a:cubicBezTo>
                <a:pt x="1193" y="163"/>
                <a:pt x="1193" y="164"/>
                <a:pt x="1193" y="164"/>
              </a:cubicBezTo>
              <a:cubicBezTo>
                <a:pt x="1191" y="165"/>
                <a:pt x="1190" y="165"/>
                <a:pt x="1188" y="165"/>
              </a:cubicBezTo>
              <a:cubicBezTo>
                <a:pt x="1184" y="165"/>
                <a:pt x="1180" y="164"/>
                <a:pt x="1176" y="164"/>
              </a:cubicBezTo>
              <a:cubicBezTo>
                <a:pt x="1172" y="164"/>
                <a:pt x="1169" y="164"/>
                <a:pt x="1165" y="164"/>
              </a:cubicBezTo>
              <a:cubicBezTo>
                <a:pt x="1153" y="164"/>
                <a:pt x="1153" y="164"/>
                <a:pt x="1153" y="164"/>
              </a:cubicBezTo>
              <a:cubicBezTo>
                <a:pt x="1130" y="163"/>
                <a:pt x="1130" y="163"/>
                <a:pt x="1130" y="163"/>
              </a:cubicBezTo>
              <a:cubicBezTo>
                <a:pt x="1086" y="162"/>
                <a:pt x="1086" y="162"/>
                <a:pt x="1086" y="162"/>
              </a:cubicBezTo>
              <a:cubicBezTo>
                <a:pt x="1085" y="155"/>
                <a:pt x="1085" y="155"/>
                <a:pt x="1085" y="155"/>
              </a:cubicBezTo>
              <a:cubicBezTo>
                <a:pt x="1108" y="154"/>
                <a:pt x="1108" y="154"/>
                <a:pt x="1108" y="154"/>
              </a:cubicBezTo>
              <a:cubicBezTo>
                <a:pt x="1121" y="154"/>
                <a:pt x="1121" y="154"/>
                <a:pt x="1121" y="154"/>
              </a:cubicBezTo>
              <a:cubicBezTo>
                <a:pt x="1123" y="154"/>
                <a:pt x="1125" y="153"/>
                <a:pt x="1127" y="153"/>
              </a:cubicBezTo>
              <a:cubicBezTo>
                <a:pt x="1128" y="153"/>
                <a:pt x="1128" y="153"/>
                <a:pt x="1128" y="153"/>
              </a:cubicBezTo>
              <a:cubicBezTo>
                <a:pt x="1128" y="153"/>
                <a:pt x="1128" y="153"/>
                <a:pt x="1128" y="153"/>
              </a:cubicBezTo>
              <a:cubicBezTo>
                <a:pt x="1128" y="153"/>
                <a:pt x="1129" y="153"/>
                <a:pt x="1130" y="152"/>
              </a:cubicBezTo>
              <a:cubicBezTo>
                <a:pt x="1131" y="151"/>
                <a:pt x="1130" y="153"/>
                <a:pt x="1131" y="150"/>
              </a:cubicBezTo>
              <a:cubicBezTo>
                <a:pt x="1131" y="149"/>
                <a:pt x="1131" y="149"/>
                <a:pt x="1131" y="149"/>
              </a:cubicBezTo>
              <a:cubicBezTo>
                <a:pt x="1130" y="148"/>
                <a:pt x="1130" y="147"/>
                <a:pt x="1130" y="147"/>
              </a:cubicBezTo>
              <a:cubicBezTo>
                <a:pt x="1130" y="146"/>
                <a:pt x="1129" y="144"/>
                <a:pt x="1129" y="143"/>
              </a:cubicBezTo>
              <a:cubicBezTo>
                <a:pt x="1128" y="141"/>
                <a:pt x="1127" y="140"/>
                <a:pt x="1127" y="138"/>
              </a:cubicBezTo>
              <a:cubicBezTo>
                <a:pt x="1126" y="136"/>
                <a:pt x="1126" y="136"/>
                <a:pt x="1126" y="136"/>
              </a:cubicBezTo>
              <a:cubicBezTo>
                <a:pt x="1126" y="136"/>
                <a:pt x="1126" y="136"/>
                <a:pt x="1126" y="136"/>
              </a:cubicBezTo>
              <a:cubicBezTo>
                <a:pt x="1126" y="136"/>
                <a:pt x="1126" y="135"/>
                <a:pt x="1127" y="134"/>
              </a:cubicBezTo>
              <a:cubicBezTo>
                <a:pt x="1127" y="133"/>
                <a:pt x="1128" y="132"/>
                <a:pt x="1129" y="130"/>
              </a:cubicBezTo>
              <a:cubicBezTo>
                <a:pt x="1129" y="130"/>
                <a:pt x="1129" y="129"/>
                <a:pt x="1129" y="129"/>
              </a:cubicBezTo>
              <a:cubicBezTo>
                <a:pt x="1129" y="129"/>
                <a:pt x="1129" y="129"/>
                <a:pt x="1129" y="129"/>
              </a:cubicBezTo>
              <a:cubicBezTo>
                <a:pt x="1128" y="128"/>
                <a:pt x="1129" y="128"/>
                <a:pt x="1129" y="128"/>
              </a:cubicBezTo>
              <a:cubicBezTo>
                <a:pt x="1128" y="128"/>
                <a:pt x="1128" y="128"/>
                <a:pt x="1128" y="128"/>
              </a:cubicBezTo>
              <a:cubicBezTo>
                <a:pt x="1128" y="128"/>
                <a:pt x="1128" y="128"/>
                <a:pt x="1128" y="128"/>
              </a:cubicBezTo>
              <a:cubicBezTo>
                <a:pt x="1128" y="127"/>
                <a:pt x="1128" y="127"/>
                <a:pt x="1128" y="127"/>
              </a:cubicBezTo>
              <a:cubicBezTo>
                <a:pt x="1128" y="126"/>
                <a:pt x="1127" y="126"/>
                <a:pt x="1127" y="125"/>
              </a:cubicBezTo>
              <a:cubicBezTo>
                <a:pt x="1125" y="123"/>
                <a:pt x="1125" y="123"/>
                <a:pt x="1125" y="123"/>
              </a:cubicBezTo>
              <a:cubicBezTo>
                <a:pt x="1125" y="122"/>
                <a:pt x="1125" y="122"/>
                <a:pt x="1125" y="121"/>
              </a:cubicBezTo>
              <a:cubicBezTo>
                <a:pt x="1124" y="121"/>
                <a:pt x="1125" y="121"/>
                <a:pt x="1124" y="120"/>
              </a:cubicBezTo>
              <a:cubicBezTo>
                <a:pt x="1123" y="118"/>
                <a:pt x="1122" y="117"/>
                <a:pt x="1121" y="117"/>
              </a:cubicBezTo>
              <a:cubicBezTo>
                <a:pt x="1121" y="116"/>
                <a:pt x="1121" y="116"/>
                <a:pt x="1120" y="116"/>
              </a:cubicBezTo>
              <a:cubicBezTo>
                <a:pt x="1121" y="116"/>
                <a:pt x="1121" y="116"/>
                <a:pt x="1121" y="115"/>
              </a:cubicBezTo>
              <a:cubicBezTo>
                <a:pt x="1122" y="114"/>
                <a:pt x="1122" y="114"/>
                <a:pt x="1123" y="111"/>
              </a:cubicBezTo>
              <a:cubicBezTo>
                <a:pt x="1123" y="111"/>
                <a:pt x="1123" y="110"/>
                <a:pt x="1123" y="110"/>
              </a:cubicBezTo>
              <a:cubicBezTo>
                <a:pt x="1123" y="110"/>
                <a:pt x="1123" y="110"/>
                <a:pt x="1123" y="110"/>
              </a:cubicBezTo>
              <a:cubicBezTo>
                <a:pt x="1123" y="109"/>
                <a:pt x="1123" y="109"/>
                <a:pt x="1123" y="109"/>
              </a:cubicBezTo>
              <a:cubicBezTo>
                <a:pt x="1123" y="109"/>
                <a:pt x="1123" y="109"/>
                <a:pt x="1123" y="109"/>
              </a:cubicBezTo>
              <a:cubicBezTo>
                <a:pt x="1123" y="108"/>
                <a:pt x="1123" y="108"/>
                <a:pt x="1123" y="108"/>
              </a:cubicBezTo>
              <a:cubicBezTo>
                <a:pt x="1122" y="108"/>
                <a:pt x="1122" y="107"/>
                <a:pt x="1122" y="106"/>
              </a:cubicBezTo>
              <a:cubicBezTo>
                <a:pt x="1121" y="105"/>
                <a:pt x="1121" y="104"/>
                <a:pt x="1120" y="103"/>
              </a:cubicBezTo>
              <a:cubicBezTo>
                <a:pt x="1119" y="101"/>
                <a:pt x="1118" y="100"/>
                <a:pt x="1117" y="98"/>
              </a:cubicBezTo>
              <a:cubicBezTo>
                <a:pt x="1114" y="94"/>
                <a:pt x="1112" y="91"/>
                <a:pt x="1110" y="87"/>
              </a:cubicBezTo>
              <a:cubicBezTo>
                <a:pt x="1109" y="86"/>
                <a:pt x="1109" y="86"/>
                <a:pt x="1108" y="85"/>
              </a:cubicBezTo>
              <a:cubicBezTo>
                <a:pt x="1108" y="84"/>
                <a:pt x="1108" y="84"/>
                <a:pt x="1108" y="84"/>
              </a:cubicBezTo>
              <a:cubicBezTo>
                <a:pt x="1108" y="84"/>
                <a:pt x="1108" y="84"/>
                <a:pt x="1108" y="83"/>
              </a:cubicBezTo>
              <a:cubicBezTo>
                <a:pt x="1108" y="82"/>
                <a:pt x="1110" y="81"/>
                <a:pt x="1110" y="77"/>
              </a:cubicBezTo>
              <a:cubicBezTo>
                <a:pt x="1111" y="77"/>
                <a:pt x="1111" y="76"/>
                <a:pt x="1111" y="76"/>
              </a:cubicBezTo>
              <a:cubicBezTo>
                <a:pt x="1111" y="76"/>
                <a:pt x="1110" y="75"/>
                <a:pt x="1110" y="74"/>
              </a:cubicBezTo>
              <a:cubicBezTo>
                <a:pt x="1110" y="74"/>
                <a:pt x="1110" y="74"/>
                <a:pt x="1110" y="74"/>
              </a:cubicBezTo>
              <a:cubicBezTo>
                <a:pt x="1110" y="74"/>
                <a:pt x="1110" y="74"/>
                <a:pt x="1110" y="74"/>
              </a:cubicBezTo>
              <a:cubicBezTo>
                <a:pt x="1110" y="73"/>
                <a:pt x="1110" y="73"/>
                <a:pt x="1110" y="73"/>
              </a:cubicBezTo>
              <a:cubicBezTo>
                <a:pt x="1110" y="72"/>
                <a:pt x="1110" y="72"/>
                <a:pt x="1110" y="72"/>
              </a:cubicBezTo>
              <a:cubicBezTo>
                <a:pt x="1109" y="71"/>
                <a:pt x="1108" y="70"/>
                <a:pt x="1108" y="69"/>
              </a:cubicBezTo>
              <a:cubicBezTo>
                <a:pt x="1106" y="67"/>
                <a:pt x="1105" y="66"/>
                <a:pt x="1104" y="64"/>
              </a:cubicBezTo>
              <a:cubicBezTo>
                <a:pt x="1103" y="62"/>
                <a:pt x="1101" y="61"/>
                <a:pt x="1101" y="59"/>
              </a:cubicBezTo>
              <a:cubicBezTo>
                <a:pt x="1099" y="56"/>
                <a:pt x="1097" y="55"/>
                <a:pt x="1096" y="53"/>
              </a:cubicBezTo>
              <a:cubicBezTo>
                <a:pt x="1094" y="52"/>
                <a:pt x="1092" y="51"/>
                <a:pt x="1092" y="50"/>
              </a:cubicBezTo>
              <a:cubicBezTo>
                <a:pt x="1091" y="49"/>
                <a:pt x="1090" y="46"/>
                <a:pt x="1090" y="45"/>
              </a:cubicBezTo>
              <a:cubicBezTo>
                <a:pt x="1090" y="44"/>
                <a:pt x="1090" y="43"/>
                <a:pt x="1090" y="42"/>
              </a:cubicBezTo>
              <a:cubicBezTo>
                <a:pt x="1090" y="42"/>
                <a:pt x="1090" y="42"/>
                <a:pt x="1090" y="42"/>
              </a:cubicBezTo>
              <a:cubicBezTo>
                <a:pt x="1091" y="42"/>
                <a:pt x="1092" y="40"/>
                <a:pt x="1092" y="38"/>
              </a:cubicBezTo>
              <a:cubicBezTo>
                <a:pt x="1092" y="38"/>
                <a:pt x="1092" y="37"/>
                <a:pt x="1091" y="37"/>
              </a:cubicBezTo>
              <a:cubicBezTo>
                <a:pt x="1091" y="37"/>
                <a:pt x="1091" y="37"/>
                <a:pt x="1091" y="37"/>
              </a:cubicBezTo>
              <a:cubicBezTo>
                <a:pt x="1091" y="36"/>
                <a:pt x="1091" y="36"/>
                <a:pt x="1090" y="36"/>
              </a:cubicBezTo>
              <a:cubicBezTo>
                <a:pt x="1088" y="34"/>
                <a:pt x="1088" y="34"/>
                <a:pt x="1088" y="34"/>
              </a:cubicBezTo>
              <a:cubicBezTo>
                <a:pt x="1087" y="33"/>
                <a:pt x="1086" y="33"/>
                <a:pt x="1086" y="32"/>
              </a:cubicBezTo>
              <a:cubicBezTo>
                <a:pt x="1085" y="32"/>
                <a:pt x="1085" y="32"/>
                <a:pt x="1085" y="32"/>
              </a:cubicBezTo>
              <a:cubicBezTo>
                <a:pt x="1085" y="32"/>
                <a:pt x="1085" y="32"/>
                <a:pt x="1085" y="32"/>
              </a:cubicBezTo>
              <a:cubicBezTo>
                <a:pt x="1085" y="32"/>
                <a:pt x="1085" y="32"/>
                <a:pt x="1085" y="32"/>
              </a:cubicBezTo>
              <a:cubicBezTo>
                <a:pt x="1085" y="32"/>
                <a:pt x="1085" y="32"/>
                <a:pt x="1085" y="32"/>
              </a:cubicBezTo>
              <a:cubicBezTo>
                <a:pt x="1085" y="31"/>
                <a:pt x="1085" y="31"/>
                <a:pt x="1085" y="31"/>
              </a:cubicBezTo>
              <a:cubicBezTo>
                <a:pt x="1085" y="30"/>
                <a:pt x="1085" y="30"/>
                <a:pt x="1085" y="29"/>
              </a:cubicBezTo>
              <a:cubicBezTo>
                <a:pt x="1085" y="29"/>
                <a:pt x="1085" y="29"/>
                <a:pt x="1086" y="28"/>
              </a:cubicBezTo>
              <a:cubicBezTo>
                <a:pt x="1086" y="28"/>
                <a:pt x="1086" y="26"/>
                <a:pt x="1086" y="25"/>
              </a:cubicBezTo>
              <a:cubicBezTo>
                <a:pt x="1086" y="25"/>
                <a:pt x="1086" y="24"/>
                <a:pt x="1085" y="24"/>
              </a:cubicBezTo>
              <a:cubicBezTo>
                <a:pt x="1084" y="22"/>
                <a:pt x="1083" y="22"/>
                <a:pt x="1083" y="21"/>
              </a:cubicBezTo>
              <a:cubicBezTo>
                <a:pt x="1083" y="21"/>
                <a:pt x="1082" y="20"/>
                <a:pt x="1082" y="19"/>
              </a:cubicBezTo>
              <a:cubicBezTo>
                <a:pt x="1081" y="17"/>
                <a:pt x="1080" y="15"/>
                <a:pt x="1078" y="13"/>
              </a:cubicBezTo>
              <a:cubicBezTo>
                <a:pt x="1078" y="12"/>
                <a:pt x="1078" y="12"/>
                <a:pt x="1078" y="12"/>
              </a:cubicBezTo>
              <a:cubicBezTo>
                <a:pt x="1077" y="12"/>
                <a:pt x="1077" y="12"/>
                <a:pt x="1077" y="12"/>
              </a:cubicBezTo>
              <a:cubicBezTo>
                <a:pt x="1077" y="12"/>
                <a:pt x="1077" y="12"/>
                <a:pt x="1077" y="12"/>
              </a:cubicBezTo>
              <a:cubicBezTo>
                <a:pt x="1077" y="11"/>
                <a:pt x="1077" y="11"/>
                <a:pt x="1077" y="11"/>
              </a:cubicBezTo>
              <a:cubicBezTo>
                <a:pt x="1077" y="11"/>
                <a:pt x="1077" y="11"/>
                <a:pt x="1077" y="11"/>
              </a:cubicBezTo>
              <a:cubicBezTo>
                <a:pt x="1076" y="11"/>
                <a:pt x="1075" y="10"/>
                <a:pt x="1076" y="10"/>
              </a:cubicBezTo>
              <a:cubicBezTo>
                <a:pt x="1076" y="11"/>
                <a:pt x="1074" y="10"/>
                <a:pt x="1074" y="10"/>
              </a:cubicBezTo>
              <a:cubicBezTo>
                <a:pt x="1074" y="10"/>
                <a:pt x="1073" y="11"/>
                <a:pt x="1073" y="11"/>
              </a:cubicBezTo>
              <a:cubicBezTo>
                <a:pt x="1073" y="11"/>
                <a:pt x="1072" y="11"/>
                <a:pt x="1072" y="12"/>
              </a:cubicBezTo>
              <a:cubicBezTo>
                <a:pt x="1072" y="12"/>
                <a:pt x="1071" y="12"/>
                <a:pt x="1071" y="13"/>
              </a:cubicBezTo>
              <a:cubicBezTo>
                <a:pt x="1071" y="14"/>
                <a:pt x="1070" y="15"/>
                <a:pt x="1069" y="16"/>
              </a:cubicBezTo>
              <a:cubicBezTo>
                <a:pt x="1068" y="17"/>
                <a:pt x="1067" y="19"/>
                <a:pt x="1066" y="21"/>
              </a:cubicBezTo>
              <a:cubicBezTo>
                <a:pt x="1065" y="24"/>
                <a:pt x="1065" y="24"/>
                <a:pt x="1065" y="24"/>
              </a:cubicBezTo>
              <a:cubicBezTo>
                <a:pt x="1064" y="26"/>
                <a:pt x="1064" y="26"/>
                <a:pt x="1064" y="26"/>
              </a:cubicBezTo>
              <a:cubicBezTo>
                <a:pt x="1064" y="26"/>
                <a:pt x="1064" y="26"/>
                <a:pt x="1064" y="27"/>
              </a:cubicBezTo>
              <a:cubicBezTo>
                <a:pt x="1063" y="28"/>
                <a:pt x="1061" y="30"/>
                <a:pt x="1060" y="32"/>
              </a:cubicBezTo>
              <a:cubicBezTo>
                <a:pt x="1059" y="33"/>
                <a:pt x="1059" y="34"/>
                <a:pt x="1058" y="35"/>
              </a:cubicBezTo>
              <a:cubicBezTo>
                <a:pt x="1057" y="36"/>
                <a:pt x="1057" y="36"/>
                <a:pt x="1057" y="36"/>
              </a:cubicBezTo>
              <a:cubicBezTo>
                <a:pt x="1057" y="36"/>
                <a:pt x="1057" y="36"/>
                <a:pt x="1057" y="36"/>
              </a:cubicBezTo>
              <a:cubicBezTo>
                <a:pt x="1057" y="36"/>
                <a:pt x="1057" y="36"/>
                <a:pt x="1057" y="36"/>
              </a:cubicBezTo>
              <a:cubicBezTo>
                <a:pt x="1057" y="37"/>
                <a:pt x="1057" y="38"/>
                <a:pt x="1057" y="39"/>
              </a:cubicBezTo>
              <a:cubicBezTo>
                <a:pt x="1057" y="39"/>
                <a:pt x="1058" y="39"/>
                <a:pt x="1058" y="40"/>
              </a:cubicBezTo>
              <a:cubicBezTo>
                <a:pt x="1058" y="40"/>
                <a:pt x="1058" y="40"/>
                <a:pt x="1058" y="40"/>
              </a:cubicBezTo>
              <a:cubicBezTo>
                <a:pt x="1059" y="40"/>
                <a:pt x="1059" y="40"/>
                <a:pt x="1059" y="40"/>
              </a:cubicBezTo>
              <a:cubicBezTo>
                <a:pt x="1059" y="40"/>
                <a:pt x="1059" y="41"/>
                <a:pt x="1060" y="41"/>
              </a:cubicBezTo>
              <a:cubicBezTo>
                <a:pt x="1059" y="42"/>
                <a:pt x="1059" y="42"/>
                <a:pt x="1059" y="42"/>
              </a:cubicBezTo>
              <a:cubicBezTo>
                <a:pt x="1059" y="43"/>
                <a:pt x="1059" y="43"/>
                <a:pt x="1059" y="43"/>
              </a:cubicBezTo>
              <a:cubicBezTo>
                <a:pt x="1058" y="44"/>
                <a:pt x="1058" y="44"/>
                <a:pt x="1058" y="44"/>
              </a:cubicBezTo>
              <a:cubicBezTo>
                <a:pt x="1058" y="44"/>
                <a:pt x="1057" y="45"/>
                <a:pt x="1057" y="46"/>
              </a:cubicBezTo>
              <a:cubicBezTo>
                <a:pt x="1056" y="47"/>
                <a:pt x="1055" y="47"/>
                <a:pt x="1054" y="49"/>
              </a:cubicBezTo>
              <a:cubicBezTo>
                <a:pt x="1052" y="52"/>
                <a:pt x="1052" y="52"/>
                <a:pt x="1052" y="52"/>
              </a:cubicBezTo>
              <a:cubicBezTo>
                <a:pt x="1051" y="55"/>
                <a:pt x="1048" y="59"/>
                <a:pt x="1045" y="62"/>
              </a:cubicBezTo>
              <a:cubicBezTo>
                <a:pt x="1044" y="64"/>
                <a:pt x="1043" y="66"/>
                <a:pt x="1042" y="68"/>
              </a:cubicBezTo>
              <a:cubicBezTo>
                <a:pt x="1041" y="69"/>
                <a:pt x="1041" y="70"/>
                <a:pt x="1040" y="71"/>
              </a:cubicBezTo>
              <a:cubicBezTo>
                <a:pt x="1040" y="72"/>
                <a:pt x="1040" y="72"/>
                <a:pt x="1040" y="72"/>
              </a:cubicBezTo>
              <a:cubicBezTo>
                <a:pt x="1040" y="72"/>
                <a:pt x="1040" y="72"/>
                <a:pt x="1040" y="72"/>
              </a:cubicBezTo>
              <a:cubicBezTo>
                <a:pt x="1040" y="72"/>
                <a:pt x="1040" y="72"/>
                <a:pt x="1040" y="72"/>
              </a:cubicBezTo>
              <a:cubicBezTo>
                <a:pt x="1040" y="70"/>
                <a:pt x="1039" y="74"/>
                <a:pt x="1041" y="76"/>
              </a:cubicBezTo>
              <a:cubicBezTo>
                <a:pt x="1042" y="76"/>
                <a:pt x="1042" y="76"/>
                <a:pt x="1042" y="76"/>
              </a:cubicBezTo>
              <a:cubicBezTo>
                <a:pt x="1043" y="76"/>
                <a:pt x="1043" y="76"/>
                <a:pt x="1043" y="76"/>
              </a:cubicBezTo>
              <a:cubicBezTo>
                <a:pt x="1044" y="76"/>
                <a:pt x="1044" y="76"/>
                <a:pt x="1044" y="76"/>
              </a:cubicBezTo>
              <a:cubicBezTo>
                <a:pt x="1044" y="77"/>
                <a:pt x="1044" y="78"/>
                <a:pt x="1044" y="78"/>
              </a:cubicBezTo>
              <a:cubicBezTo>
                <a:pt x="1044" y="78"/>
                <a:pt x="1044" y="78"/>
                <a:pt x="1044" y="78"/>
              </a:cubicBezTo>
              <a:cubicBezTo>
                <a:pt x="1043" y="78"/>
                <a:pt x="1043" y="78"/>
                <a:pt x="1042" y="79"/>
              </a:cubicBezTo>
              <a:cubicBezTo>
                <a:pt x="1042" y="79"/>
                <a:pt x="1042" y="79"/>
                <a:pt x="1042" y="79"/>
              </a:cubicBezTo>
              <a:cubicBezTo>
                <a:pt x="1042" y="79"/>
                <a:pt x="1041" y="80"/>
                <a:pt x="1041" y="80"/>
              </a:cubicBezTo>
              <a:cubicBezTo>
                <a:pt x="1041" y="80"/>
                <a:pt x="1041" y="80"/>
                <a:pt x="1041" y="80"/>
              </a:cubicBezTo>
              <a:cubicBezTo>
                <a:pt x="1041" y="81"/>
                <a:pt x="1041" y="81"/>
                <a:pt x="1041" y="81"/>
              </a:cubicBezTo>
              <a:cubicBezTo>
                <a:pt x="1041" y="81"/>
                <a:pt x="1041" y="81"/>
                <a:pt x="1041" y="81"/>
              </a:cubicBezTo>
              <a:cubicBezTo>
                <a:pt x="1040" y="82"/>
                <a:pt x="1040" y="82"/>
                <a:pt x="1040" y="82"/>
              </a:cubicBezTo>
              <a:cubicBezTo>
                <a:pt x="1040" y="84"/>
                <a:pt x="1039" y="87"/>
                <a:pt x="1038" y="89"/>
              </a:cubicBezTo>
              <a:cubicBezTo>
                <a:pt x="1038" y="91"/>
                <a:pt x="1038" y="94"/>
                <a:pt x="1038" y="96"/>
              </a:cubicBezTo>
              <a:cubicBezTo>
                <a:pt x="1038" y="97"/>
                <a:pt x="1038" y="98"/>
                <a:pt x="1038" y="98"/>
              </a:cubicBezTo>
              <a:cubicBezTo>
                <a:pt x="1038" y="99"/>
                <a:pt x="1037" y="99"/>
                <a:pt x="1037" y="99"/>
              </a:cubicBezTo>
              <a:cubicBezTo>
                <a:pt x="1036" y="100"/>
                <a:pt x="1036" y="100"/>
                <a:pt x="1036" y="100"/>
              </a:cubicBezTo>
              <a:cubicBezTo>
                <a:pt x="1036" y="100"/>
                <a:pt x="1035" y="100"/>
                <a:pt x="1034" y="101"/>
              </a:cubicBezTo>
              <a:cubicBezTo>
                <a:pt x="1034" y="101"/>
                <a:pt x="1034" y="101"/>
                <a:pt x="1034" y="101"/>
              </a:cubicBezTo>
              <a:cubicBezTo>
                <a:pt x="1034" y="101"/>
                <a:pt x="1033" y="102"/>
                <a:pt x="1033" y="102"/>
              </a:cubicBezTo>
              <a:cubicBezTo>
                <a:pt x="1033" y="102"/>
                <a:pt x="1033" y="102"/>
                <a:pt x="1033" y="102"/>
              </a:cubicBezTo>
              <a:cubicBezTo>
                <a:pt x="1033" y="102"/>
                <a:pt x="1033" y="103"/>
                <a:pt x="1033" y="103"/>
              </a:cubicBezTo>
              <a:cubicBezTo>
                <a:pt x="1033" y="103"/>
                <a:pt x="1033" y="103"/>
                <a:pt x="1033" y="103"/>
              </a:cubicBezTo>
              <a:cubicBezTo>
                <a:pt x="1033" y="104"/>
                <a:pt x="1033" y="104"/>
                <a:pt x="1033" y="104"/>
              </a:cubicBezTo>
              <a:cubicBezTo>
                <a:pt x="1032" y="105"/>
                <a:pt x="1032" y="105"/>
                <a:pt x="1032" y="105"/>
              </a:cubicBezTo>
              <a:cubicBezTo>
                <a:pt x="1032" y="105"/>
                <a:pt x="1032" y="106"/>
                <a:pt x="1031" y="106"/>
              </a:cubicBezTo>
              <a:cubicBezTo>
                <a:pt x="1030" y="107"/>
                <a:pt x="1029" y="108"/>
                <a:pt x="1028" y="110"/>
              </a:cubicBezTo>
              <a:cubicBezTo>
                <a:pt x="1028" y="113"/>
                <a:pt x="1028" y="114"/>
                <a:pt x="1029" y="115"/>
              </a:cubicBezTo>
              <a:cubicBezTo>
                <a:pt x="1029" y="116"/>
                <a:pt x="1029" y="116"/>
                <a:pt x="1029" y="116"/>
              </a:cubicBezTo>
              <a:cubicBezTo>
                <a:pt x="1029" y="116"/>
                <a:pt x="1029" y="116"/>
                <a:pt x="1029" y="116"/>
              </a:cubicBezTo>
              <a:cubicBezTo>
                <a:pt x="1027" y="123"/>
                <a:pt x="1027" y="123"/>
                <a:pt x="1027" y="123"/>
              </a:cubicBezTo>
              <a:cubicBezTo>
                <a:pt x="1026" y="124"/>
                <a:pt x="1026" y="126"/>
                <a:pt x="1027" y="127"/>
              </a:cubicBezTo>
              <a:cubicBezTo>
                <a:pt x="1027" y="129"/>
                <a:pt x="1028" y="130"/>
                <a:pt x="1028" y="131"/>
              </a:cubicBezTo>
              <a:cubicBezTo>
                <a:pt x="1028" y="132"/>
                <a:pt x="1028" y="132"/>
                <a:pt x="1028" y="132"/>
              </a:cubicBezTo>
              <a:cubicBezTo>
                <a:pt x="1028" y="133"/>
                <a:pt x="1028" y="133"/>
                <a:pt x="1028" y="133"/>
              </a:cubicBezTo>
              <a:cubicBezTo>
                <a:pt x="1028" y="133"/>
                <a:pt x="1028" y="133"/>
                <a:pt x="1028" y="133"/>
              </a:cubicBezTo>
              <a:cubicBezTo>
                <a:pt x="1028" y="133"/>
                <a:pt x="1028" y="133"/>
                <a:pt x="1027" y="134"/>
              </a:cubicBezTo>
              <a:cubicBezTo>
                <a:pt x="1025" y="136"/>
                <a:pt x="1025" y="136"/>
                <a:pt x="1025" y="136"/>
              </a:cubicBezTo>
              <a:cubicBezTo>
                <a:pt x="1025" y="137"/>
                <a:pt x="1024" y="137"/>
                <a:pt x="1024" y="138"/>
              </a:cubicBezTo>
              <a:cubicBezTo>
                <a:pt x="1024" y="138"/>
                <a:pt x="1023" y="139"/>
                <a:pt x="1023" y="140"/>
              </a:cubicBezTo>
              <a:cubicBezTo>
                <a:pt x="1022" y="142"/>
                <a:pt x="1022" y="145"/>
                <a:pt x="1022" y="147"/>
              </a:cubicBezTo>
              <a:cubicBezTo>
                <a:pt x="1022" y="148"/>
                <a:pt x="1022" y="148"/>
                <a:pt x="1022" y="148"/>
              </a:cubicBezTo>
              <a:cubicBezTo>
                <a:pt x="1022" y="149"/>
                <a:pt x="1022" y="149"/>
                <a:pt x="1022" y="149"/>
              </a:cubicBezTo>
              <a:cubicBezTo>
                <a:pt x="1022" y="149"/>
                <a:pt x="1022" y="149"/>
                <a:pt x="1022" y="149"/>
              </a:cubicBezTo>
              <a:cubicBezTo>
                <a:pt x="1021" y="150"/>
                <a:pt x="1023" y="152"/>
                <a:pt x="1023" y="152"/>
              </a:cubicBezTo>
              <a:cubicBezTo>
                <a:pt x="1023" y="152"/>
                <a:pt x="1024" y="152"/>
                <a:pt x="1024" y="152"/>
              </a:cubicBezTo>
              <a:cubicBezTo>
                <a:pt x="1024" y="153"/>
                <a:pt x="1025" y="153"/>
                <a:pt x="1025" y="153"/>
              </a:cubicBezTo>
              <a:cubicBezTo>
                <a:pt x="1026" y="153"/>
                <a:pt x="1027" y="153"/>
                <a:pt x="1028" y="153"/>
              </a:cubicBezTo>
              <a:cubicBezTo>
                <a:pt x="1033" y="153"/>
                <a:pt x="1037" y="154"/>
                <a:pt x="1041" y="154"/>
              </a:cubicBezTo>
              <a:cubicBezTo>
                <a:pt x="1064" y="155"/>
                <a:pt x="1064" y="155"/>
                <a:pt x="1064" y="155"/>
              </a:cubicBezTo>
              <a:cubicBezTo>
                <a:pt x="1064" y="162"/>
                <a:pt x="1064" y="162"/>
                <a:pt x="1064" y="162"/>
              </a:cubicBezTo>
              <a:cubicBezTo>
                <a:pt x="800" y="150"/>
                <a:pt x="800" y="150"/>
                <a:pt x="800" y="150"/>
              </a:cubicBezTo>
              <a:cubicBezTo>
                <a:pt x="711" y="146"/>
                <a:pt x="623" y="131"/>
                <a:pt x="534" y="125"/>
              </a:cubicBezTo>
              <a:cubicBezTo>
                <a:pt x="511" y="123"/>
                <a:pt x="489" y="123"/>
                <a:pt x="467" y="122"/>
              </a:cubicBezTo>
              <a:cubicBezTo>
                <a:pt x="445" y="121"/>
                <a:pt x="422" y="121"/>
                <a:pt x="400" y="120"/>
              </a:cubicBezTo>
              <a:cubicBezTo>
                <a:pt x="355" y="119"/>
                <a:pt x="311" y="119"/>
                <a:pt x="266" y="119"/>
              </a:cubicBezTo>
              <a:cubicBezTo>
                <a:pt x="222" y="120"/>
                <a:pt x="177" y="121"/>
                <a:pt x="133" y="126"/>
              </a:cubicBezTo>
              <a:cubicBezTo>
                <a:pt x="88" y="130"/>
                <a:pt x="44" y="136"/>
                <a:pt x="0" y="142"/>
              </a:cubicBezTo>
              <a:cubicBezTo>
                <a:pt x="44" y="136"/>
                <a:pt x="88" y="131"/>
                <a:pt x="133" y="127"/>
              </a:cubicBezTo>
              <a:cubicBezTo>
                <a:pt x="177" y="124"/>
                <a:pt x="222" y="122"/>
                <a:pt x="266" y="123"/>
              </a:cubicBezTo>
              <a:cubicBezTo>
                <a:pt x="311" y="123"/>
                <a:pt x="355" y="124"/>
                <a:pt x="400" y="125"/>
              </a:cubicBezTo>
              <a:cubicBezTo>
                <a:pt x="467" y="128"/>
                <a:pt x="467" y="128"/>
                <a:pt x="467" y="128"/>
              </a:cubicBezTo>
              <a:cubicBezTo>
                <a:pt x="489" y="129"/>
                <a:pt x="511" y="129"/>
                <a:pt x="533" y="131"/>
              </a:cubicBezTo>
              <a:cubicBezTo>
                <a:pt x="622" y="137"/>
                <a:pt x="710" y="152"/>
                <a:pt x="799" y="156"/>
              </a:cubicBezTo>
              <a:cubicBezTo>
                <a:pt x="1067" y="168"/>
                <a:pt x="1067" y="168"/>
                <a:pt x="1067" y="168"/>
              </a:cubicBezTo>
              <a:cubicBezTo>
                <a:pt x="1070" y="168"/>
                <a:pt x="1070" y="168"/>
                <a:pt x="1070" y="168"/>
              </a:cubicBezTo>
              <a:cubicBezTo>
                <a:pt x="1070" y="165"/>
                <a:pt x="1070" y="165"/>
                <a:pt x="1070" y="165"/>
              </a:cubicBezTo>
              <a:cubicBezTo>
                <a:pt x="1070" y="153"/>
                <a:pt x="1070" y="153"/>
                <a:pt x="1070" y="153"/>
              </a:cubicBezTo>
              <a:cubicBezTo>
                <a:pt x="1070" y="150"/>
                <a:pt x="1070" y="150"/>
                <a:pt x="1070" y="150"/>
              </a:cubicBezTo>
              <a:cubicBezTo>
                <a:pt x="1067" y="150"/>
                <a:pt x="1067" y="150"/>
                <a:pt x="1067" y="150"/>
              </a:cubicBezTo>
              <a:cubicBezTo>
                <a:pt x="1042" y="148"/>
                <a:pt x="1042" y="148"/>
                <a:pt x="1042" y="148"/>
              </a:cubicBezTo>
              <a:cubicBezTo>
                <a:pt x="1038" y="148"/>
                <a:pt x="1033" y="148"/>
                <a:pt x="1029" y="147"/>
              </a:cubicBezTo>
              <a:cubicBezTo>
                <a:pt x="1029" y="147"/>
                <a:pt x="1028" y="147"/>
                <a:pt x="1028" y="147"/>
              </a:cubicBezTo>
              <a:cubicBezTo>
                <a:pt x="1028" y="145"/>
                <a:pt x="1028" y="143"/>
                <a:pt x="1029" y="141"/>
              </a:cubicBezTo>
              <a:cubicBezTo>
                <a:pt x="1029" y="141"/>
                <a:pt x="1029" y="141"/>
                <a:pt x="1029" y="141"/>
              </a:cubicBezTo>
              <a:cubicBezTo>
                <a:pt x="1029" y="141"/>
                <a:pt x="1029" y="140"/>
                <a:pt x="1030" y="140"/>
              </a:cubicBezTo>
              <a:cubicBezTo>
                <a:pt x="1032" y="138"/>
                <a:pt x="1032" y="138"/>
                <a:pt x="1032" y="138"/>
              </a:cubicBezTo>
              <a:cubicBezTo>
                <a:pt x="1032" y="137"/>
                <a:pt x="1033" y="137"/>
                <a:pt x="1033" y="136"/>
              </a:cubicBezTo>
              <a:cubicBezTo>
                <a:pt x="1033" y="136"/>
                <a:pt x="1033" y="135"/>
                <a:pt x="1034" y="135"/>
              </a:cubicBezTo>
              <a:cubicBezTo>
                <a:pt x="1034" y="134"/>
                <a:pt x="1034" y="134"/>
                <a:pt x="1034" y="134"/>
              </a:cubicBezTo>
              <a:cubicBezTo>
                <a:pt x="1034" y="133"/>
                <a:pt x="1034" y="133"/>
                <a:pt x="1034" y="133"/>
              </a:cubicBezTo>
              <a:cubicBezTo>
                <a:pt x="1034" y="132"/>
                <a:pt x="1034" y="130"/>
                <a:pt x="1033" y="129"/>
              </a:cubicBezTo>
              <a:cubicBezTo>
                <a:pt x="1033" y="126"/>
                <a:pt x="1032" y="126"/>
                <a:pt x="1033" y="124"/>
              </a:cubicBezTo>
              <a:cubicBezTo>
                <a:pt x="1034" y="118"/>
                <a:pt x="1034" y="118"/>
                <a:pt x="1034" y="118"/>
              </a:cubicBezTo>
              <a:cubicBezTo>
                <a:pt x="1034" y="118"/>
                <a:pt x="1035" y="117"/>
                <a:pt x="1035" y="116"/>
              </a:cubicBezTo>
              <a:cubicBezTo>
                <a:pt x="1035" y="115"/>
                <a:pt x="1034" y="114"/>
                <a:pt x="1034" y="113"/>
              </a:cubicBezTo>
              <a:cubicBezTo>
                <a:pt x="1034" y="113"/>
                <a:pt x="1034" y="112"/>
                <a:pt x="1034" y="112"/>
              </a:cubicBezTo>
              <a:cubicBezTo>
                <a:pt x="1034" y="112"/>
                <a:pt x="1034" y="111"/>
                <a:pt x="1035" y="111"/>
              </a:cubicBezTo>
              <a:cubicBezTo>
                <a:pt x="1036" y="110"/>
                <a:pt x="1037" y="109"/>
                <a:pt x="1038" y="107"/>
              </a:cubicBezTo>
              <a:cubicBezTo>
                <a:pt x="1038" y="107"/>
                <a:pt x="1038" y="107"/>
                <a:pt x="1038" y="106"/>
              </a:cubicBezTo>
              <a:cubicBezTo>
                <a:pt x="1038" y="106"/>
                <a:pt x="1038" y="106"/>
                <a:pt x="1038" y="106"/>
              </a:cubicBezTo>
              <a:cubicBezTo>
                <a:pt x="1038" y="105"/>
                <a:pt x="1038" y="105"/>
                <a:pt x="1038" y="105"/>
              </a:cubicBezTo>
              <a:cubicBezTo>
                <a:pt x="1039" y="105"/>
                <a:pt x="1039" y="105"/>
                <a:pt x="1039" y="105"/>
              </a:cubicBezTo>
              <a:cubicBezTo>
                <a:pt x="1039" y="105"/>
                <a:pt x="1040" y="105"/>
                <a:pt x="1041" y="104"/>
              </a:cubicBezTo>
              <a:cubicBezTo>
                <a:pt x="1041" y="104"/>
                <a:pt x="1041" y="104"/>
                <a:pt x="1042" y="104"/>
              </a:cubicBezTo>
              <a:cubicBezTo>
                <a:pt x="1042" y="103"/>
                <a:pt x="1042" y="103"/>
                <a:pt x="1042" y="103"/>
              </a:cubicBezTo>
              <a:cubicBezTo>
                <a:pt x="1042" y="103"/>
                <a:pt x="1043" y="102"/>
                <a:pt x="1043" y="102"/>
              </a:cubicBezTo>
              <a:cubicBezTo>
                <a:pt x="1043" y="102"/>
                <a:pt x="1043" y="102"/>
                <a:pt x="1043" y="102"/>
              </a:cubicBezTo>
              <a:cubicBezTo>
                <a:pt x="1043" y="101"/>
                <a:pt x="1043" y="100"/>
                <a:pt x="1043" y="100"/>
              </a:cubicBezTo>
              <a:cubicBezTo>
                <a:pt x="1044" y="98"/>
                <a:pt x="1044" y="97"/>
                <a:pt x="1044" y="96"/>
              </a:cubicBezTo>
              <a:cubicBezTo>
                <a:pt x="1044" y="94"/>
                <a:pt x="1044" y="92"/>
                <a:pt x="1044" y="90"/>
              </a:cubicBezTo>
              <a:cubicBezTo>
                <a:pt x="1045" y="88"/>
                <a:pt x="1045" y="87"/>
                <a:pt x="1046" y="84"/>
              </a:cubicBezTo>
              <a:cubicBezTo>
                <a:pt x="1046" y="83"/>
                <a:pt x="1046" y="83"/>
                <a:pt x="1046" y="83"/>
              </a:cubicBezTo>
              <a:cubicBezTo>
                <a:pt x="1047" y="83"/>
                <a:pt x="1047" y="83"/>
                <a:pt x="1048" y="83"/>
              </a:cubicBezTo>
              <a:cubicBezTo>
                <a:pt x="1048" y="82"/>
                <a:pt x="1049" y="82"/>
                <a:pt x="1049" y="82"/>
              </a:cubicBezTo>
              <a:cubicBezTo>
                <a:pt x="1049" y="81"/>
                <a:pt x="1049" y="81"/>
                <a:pt x="1050" y="81"/>
              </a:cubicBezTo>
              <a:cubicBezTo>
                <a:pt x="1050" y="80"/>
                <a:pt x="1050" y="80"/>
                <a:pt x="1050" y="80"/>
              </a:cubicBezTo>
              <a:cubicBezTo>
                <a:pt x="1050" y="80"/>
                <a:pt x="1050" y="80"/>
                <a:pt x="1050" y="80"/>
              </a:cubicBezTo>
              <a:cubicBezTo>
                <a:pt x="1050" y="79"/>
                <a:pt x="1050" y="79"/>
                <a:pt x="1050" y="79"/>
              </a:cubicBezTo>
              <a:cubicBezTo>
                <a:pt x="1050" y="77"/>
                <a:pt x="1049" y="76"/>
                <a:pt x="1049" y="75"/>
              </a:cubicBezTo>
              <a:cubicBezTo>
                <a:pt x="1049" y="75"/>
                <a:pt x="1049" y="75"/>
                <a:pt x="1049" y="75"/>
              </a:cubicBezTo>
              <a:cubicBezTo>
                <a:pt x="1049" y="75"/>
                <a:pt x="1049" y="75"/>
                <a:pt x="1049" y="75"/>
              </a:cubicBezTo>
              <a:cubicBezTo>
                <a:pt x="1049" y="75"/>
                <a:pt x="1049" y="75"/>
                <a:pt x="1049" y="75"/>
              </a:cubicBezTo>
              <a:cubicBezTo>
                <a:pt x="1049" y="75"/>
                <a:pt x="1049" y="75"/>
                <a:pt x="1049" y="75"/>
              </a:cubicBezTo>
              <a:cubicBezTo>
                <a:pt x="1050" y="71"/>
                <a:pt x="1050" y="74"/>
                <a:pt x="1049" y="72"/>
              </a:cubicBezTo>
              <a:cubicBezTo>
                <a:pt x="1049" y="72"/>
                <a:pt x="1048" y="71"/>
                <a:pt x="1048" y="71"/>
              </a:cubicBezTo>
              <a:cubicBezTo>
                <a:pt x="1047" y="71"/>
                <a:pt x="1047" y="71"/>
                <a:pt x="1047" y="71"/>
              </a:cubicBezTo>
              <a:cubicBezTo>
                <a:pt x="1047" y="71"/>
                <a:pt x="1047" y="71"/>
                <a:pt x="1047" y="71"/>
              </a:cubicBezTo>
              <a:cubicBezTo>
                <a:pt x="1048" y="69"/>
                <a:pt x="1049" y="68"/>
                <a:pt x="1050" y="66"/>
              </a:cubicBezTo>
              <a:cubicBezTo>
                <a:pt x="1053" y="62"/>
                <a:pt x="1056" y="59"/>
                <a:pt x="1058" y="55"/>
              </a:cubicBezTo>
              <a:cubicBezTo>
                <a:pt x="1059" y="52"/>
                <a:pt x="1059" y="52"/>
                <a:pt x="1059" y="52"/>
              </a:cubicBezTo>
              <a:cubicBezTo>
                <a:pt x="1059" y="52"/>
                <a:pt x="1060" y="51"/>
                <a:pt x="1060" y="50"/>
              </a:cubicBezTo>
              <a:cubicBezTo>
                <a:pt x="1061" y="50"/>
                <a:pt x="1062" y="49"/>
                <a:pt x="1063" y="47"/>
              </a:cubicBezTo>
              <a:cubicBezTo>
                <a:pt x="1064" y="46"/>
                <a:pt x="1064" y="46"/>
                <a:pt x="1064" y="46"/>
              </a:cubicBezTo>
              <a:cubicBezTo>
                <a:pt x="1065" y="44"/>
                <a:pt x="1065" y="44"/>
                <a:pt x="1065" y="44"/>
              </a:cubicBezTo>
              <a:cubicBezTo>
                <a:pt x="1066" y="41"/>
                <a:pt x="1066" y="41"/>
                <a:pt x="1066" y="41"/>
              </a:cubicBezTo>
              <a:cubicBezTo>
                <a:pt x="1066" y="40"/>
                <a:pt x="1066" y="40"/>
                <a:pt x="1066" y="40"/>
              </a:cubicBezTo>
              <a:cubicBezTo>
                <a:pt x="1066" y="40"/>
                <a:pt x="1066" y="40"/>
                <a:pt x="1066" y="40"/>
              </a:cubicBezTo>
              <a:cubicBezTo>
                <a:pt x="1067" y="40"/>
                <a:pt x="1066" y="41"/>
                <a:pt x="1067" y="39"/>
              </a:cubicBezTo>
              <a:cubicBezTo>
                <a:pt x="1067" y="39"/>
                <a:pt x="1067" y="39"/>
                <a:pt x="1067" y="39"/>
              </a:cubicBezTo>
              <a:cubicBezTo>
                <a:pt x="1067" y="39"/>
                <a:pt x="1067" y="38"/>
                <a:pt x="1066" y="37"/>
              </a:cubicBezTo>
              <a:cubicBezTo>
                <a:pt x="1066" y="37"/>
                <a:pt x="1065" y="36"/>
                <a:pt x="1065" y="36"/>
              </a:cubicBezTo>
              <a:cubicBezTo>
                <a:pt x="1065" y="36"/>
                <a:pt x="1065" y="36"/>
                <a:pt x="1065" y="36"/>
              </a:cubicBezTo>
              <a:cubicBezTo>
                <a:pt x="1065" y="36"/>
                <a:pt x="1065" y="36"/>
                <a:pt x="1065" y="36"/>
              </a:cubicBezTo>
              <a:cubicBezTo>
                <a:pt x="1064" y="36"/>
                <a:pt x="1064" y="36"/>
                <a:pt x="1064" y="36"/>
              </a:cubicBezTo>
              <a:cubicBezTo>
                <a:pt x="1065" y="36"/>
                <a:pt x="1065" y="36"/>
                <a:pt x="1065" y="35"/>
              </a:cubicBezTo>
              <a:cubicBezTo>
                <a:pt x="1066" y="34"/>
                <a:pt x="1067" y="32"/>
                <a:pt x="1069" y="30"/>
              </a:cubicBezTo>
              <a:cubicBezTo>
                <a:pt x="1069" y="30"/>
                <a:pt x="1069" y="29"/>
                <a:pt x="1070" y="28"/>
              </a:cubicBezTo>
              <a:cubicBezTo>
                <a:pt x="1070" y="27"/>
                <a:pt x="1070" y="27"/>
                <a:pt x="1070" y="27"/>
              </a:cubicBezTo>
              <a:cubicBezTo>
                <a:pt x="1072" y="24"/>
                <a:pt x="1072" y="24"/>
                <a:pt x="1072" y="24"/>
              </a:cubicBezTo>
              <a:cubicBezTo>
                <a:pt x="1073" y="22"/>
                <a:pt x="1074" y="20"/>
                <a:pt x="1075" y="19"/>
              </a:cubicBezTo>
              <a:cubicBezTo>
                <a:pt x="1075" y="20"/>
                <a:pt x="1076" y="21"/>
                <a:pt x="1076" y="22"/>
              </a:cubicBezTo>
              <a:cubicBezTo>
                <a:pt x="1077" y="23"/>
                <a:pt x="1077" y="23"/>
                <a:pt x="1078" y="25"/>
              </a:cubicBezTo>
              <a:cubicBezTo>
                <a:pt x="1079" y="26"/>
                <a:pt x="1079" y="26"/>
                <a:pt x="1080" y="26"/>
              </a:cubicBezTo>
              <a:cubicBezTo>
                <a:pt x="1079" y="27"/>
                <a:pt x="1079" y="27"/>
                <a:pt x="1079" y="27"/>
              </a:cubicBezTo>
              <a:cubicBezTo>
                <a:pt x="1079" y="29"/>
                <a:pt x="1079" y="31"/>
                <a:pt x="1079" y="32"/>
              </a:cubicBezTo>
              <a:cubicBezTo>
                <a:pt x="1079" y="33"/>
                <a:pt x="1080" y="33"/>
                <a:pt x="1080" y="34"/>
              </a:cubicBezTo>
              <a:cubicBezTo>
                <a:pt x="1080" y="34"/>
                <a:pt x="1080" y="34"/>
                <a:pt x="1080" y="34"/>
              </a:cubicBezTo>
              <a:cubicBezTo>
                <a:pt x="1080" y="35"/>
                <a:pt x="1080" y="35"/>
                <a:pt x="1080" y="35"/>
              </a:cubicBezTo>
              <a:cubicBezTo>
                <a:pt x="1080" y="35"/>
                <a:pt x="1081" y="35"/>
                <a:pt x="1081" y="35"/>
              </a:cubicBezTo>
              <a:cubicBezTo>
                <a:pt x="1081" y="36"/>
                <a:pt x="1081" y="36"/>
                <a:pt x="1081" y="36"/>
              </a:cubicBezTo>
              <a:cubicBezTo>
                <a:pt x="1082" y="37"/>
                <a:pt x="1083" y="38"/>
                <a:pt x="1084" y="38"/>
              </a:cubicBezTo>
              <a:cubicBezTo>
                <a:pt x="1084" y="39"/>
                <a:pt x="1084" y="40"/>
                <a:pt x="1083" y="40"/>
              </a:cubicBezTo>
              <a:cubicBezTo>
                <a:pt x="1083" y="41"/>
                <a:pt x="1083" y="42"/>
                <a:pt x="1083" y="42"/>
              </a:cubicBezTo>
              <a:cubicBezTo>
                <a:pt x="1084" y="44"/>
                <a:pt x="1084" y="45"/>
                <a:pt x="1084" y="46"/>
              </a:cubicBezTo>
              <a:cubicBezTo>
                <a:pt x="1085" y="48"/>
                <a:pt x="1085" y="50"/>
                <a:pt x="1087" y="53"/>
              </a:cubicBezTo>
              <a:cubicBezTo>
                <a:pt x="1088" y="55"/>
                <a:pt x="1090" y="57"/>
                <a:pt x="1092" y="58"/>
              </a:cubicBezTo>
              <a:cubicBezTo>
                <a:pt x="1093" y="59"/>
                <a:pt x="1095" y="60"/>
                <a:pt x="1095" y="62"/>
              </a:cubicBezTo>
              <a:cubicBezTo>
                <a:pt x="1096" y="64"/>
                <a:pt x="1098" y="66"/>
                <a:pt x="1099" y="68"/>
              </a:cubicBezTo>
              <a:cubicBezTo>
                <a:pt x="1100" y="69"/>
                <a:pt x="1102" y="71"/>
                <a:pt x="1103" y="73"/>
              </a:cubicBezTo>
              <a:cubicBezTo>
                <a:pt x="1103" y="73"/>
                <a:pt x="1104" y="74"/>
                <a:pt x="1104" y="75"/>
              </a:cubicBezTo>
              <a:cubicBezTo>
                <a:pt x="1104" y="76"/>
                <a:pt x="1104" y="76"/>
                <a:pt x="1104" y="76"/>
              </a:cubicBezTo>
              <a:cubicBezTo>
                <a:pt x="1105" y="76"/>
                <a:pt x="1105" y="76"/>
                <a:pt x="1105" y="76"/>
              </a:cubicBezTo>
              <a:cubicBezTo>
                <a:pt x="1105" y="76"/>
                <a:pt x="1105" y="76"/>
                <a:pt x="1105" y="76"/>
              </a:cubicBezTo>
              <a:cubicBezTo>
                <a:pt x="1105" y="76"/>
                <a:pt x="1105" y="76"/>
                <a:pt x="1105" y="76"/>
              </a:cubicBezTo>
              <a:cubicBezTo>
                <a:pt x="1105" y="76"/>
                <a:pt x="1105" y="76"/>
                <a:pt x="1105" y="76"/>
              </a:cubicBezTo>
              <a:cubicBezTo>
                <a:pt x="1105" y="76"/>
                <a:pt x="1105" y="76"/>
                <a:pt x="1105" y="76"/>
              </a:cubicBezTo>
              <a:cubicBezTo>
                <a:pt x="1104" y="77"/>
                <a:pt x="1103" y="79"/>
                <a:pt x="1102" y="82"/>
              </a:cubicBezTo>
              <a:cubicBezTo>
                <a:pt x="1102" y="83"/>
                <a:pt x="1102" y="84"/>
                <a:pt x="1102" y="85"/>
              </a:cubicBezTo>
              <a:cubicBezTo>
                <a:pt x="1102" y="86"/>
                <a:pt x="1103" y="87"/>
                <a:pt x="1103" y="87"/>
              </a:cubicBezTo>
              <a:cubicBezTo>
                <a:pt x="1103" y="88"/>
                <a:pt x="1104" y="89"/>
                <a:pt x="1104" y="90"/>
              </a:cubicBezTo>
              <a:cubicBezTo>
                <a:pt x="1107" y="94"/>
                <a:pt x="1109" y="98"/>
                <a:pt x="1112" y="101"/>
              </a:cubicBezTo>
              <a:cubicBezTo>
                <a:pt x="1113" y="103"/>
                <a:pt x="1114" y="105"/>
                <a:pt x="1115" y="106"/>
              </a:cubicBezTo>
              <a:cubicBezTo>
                <a:pt x="1115" y="107"/>
                <a:pt x="1116" y="108"/>
                <a:pt x="1116" y="109"/>
              </a:cubicBezTo>
              <a:cubicBezTo>
                <a:pt x="1117" y="109"/>
                <a:pt x="1117" y="110"/>
                <a:pt x="1117" y="110"/>
              </a:cubicBezTo>
              <a:cubicBezTo>
                <a:pt x="1117" y="110"/>
                <a:pt x="1117" y="110"/>
                <a:pt x="1117" y="110"/>
              </a:cubicBezTo>
              <a:cubicBezTo>
                <a:pt x="1117" y="111"/>
                <a:pt x="1116" y="111"/>
                <a:pt x="1116" y="112"/>
              </a:cubicBezTo>
              <a:cubicBezTo>
                <a:pt x="1116" y="112"/>
                <a:pt x="1115" y="113"/>
                <a:pt x="1115" y="114"/>
              </a:cubicBezTo>
              <a:cubicBezTo>
                <a:pt x="1115" y="114"/>
                <a:pt x="1114" y="115"/>
                <a:pt x="1114" y="117"/>
              </a:cubicBezTo>
              <a:cubicBezTo>
                <a:pt x="1114" y="117"/>
                <a:pt x="1114" y="117"/>
                <a:pt x="1115" y="118"/>
              </a:cubicBezTo>
              <a:cubicBezTo>
                <a:pt x="1115" y="118"/>
                <a:pt x="1115" y="118"/>
                <a:pt x="1115" y="118"/>
              </a:cubicBezTo>
              <a:cubicBezTo>
                <a:pt x="1115" y="118"/>
                <a:pt x="1115" y="118"/>
                <a:pt x="1115" y="119"/>
              </a:cubicBezTo>
              <a:cubicBezTo>
                <a:pt x="1115" y="119"/>
                <a:pt x="1115" y="119"/>
                <a:pt x="1116" y="120"/>
              </a:cubicBezTo>
              <a:cubicBezTo>
                <a:pt x="1116" y="120"/>
                <a:pt x="1117" y="121"/>
                <a:pt x="1117" y="121"/>
              </a:cubicBezTo>
              <a:cubicBezTo>
                <a:pt x="1118" y="122"/>
                <a:pt x="1119" y="123"/>
                <a:pt x="1119" y="123"/>
              </a:cubicBezTo>
              <a:cubicBezTo>
                <a:pt x="1119" y="122"/>
                <a:pt x="1119" y="124"/>
                <a:pt x="1119" y="124"/>
              </a:cubicBezTo>
              <a:cubicBezTo>
                <a:pt x="1120" y="125"/>
                <a:pt x="1120" y="125"/>
                <a:pt x="1120" y="126"/>
              </a:cubicBezTo>
              <a:cubicBezTo>
                <a:pt x="1122" y="128"/>
                <a:pt x="1122" y="128"/>
                <a:pt x="1122" y="128"/>
              </a:cubicBezTo>
              <a:cubicBezTo>
                <a:pt x="1122" y="129"/>
                <a:pt x="1123" y="129"/>
                <a:pt x="1123" y="130"/>
              </a:cubicBezTo>
              <a:cubicBezTo>
                <a:pt x="1123" y="130"/>
                <a:pt x="1123" y="130"/>
                <a:pt x="1123" y="130"/>
              </a:cubicBezTo>
              <a:cubicBezTo>
                <a:pt x="1123" y="130"/>
                <a:pt x="1122" y="131"/>
                <a:pt x="1122" y="131"/>
              </a:cubicBezTo>
              <a:cubicBezTo>
                <a:pt x="1121" y="132"/>
                <a:pt x="1121" y="133"/>
                <a:pt x="1120" y="135"/>
              </a:cubicBezTo>
              <a:cubicBezTo>
                <a:pt x="1120" y="136"/>
                <a:pt x="1120" y="136"/>
                <a:pt x="1120" y="137"/>
              </a:cubicBezTo>
              <a:cubicBezTo>
                <a:pt x="1120" y="138"/>
                <a:pt x="1120" y="138"/>
                <a:pt x="1120" y="138"/>
              </a:cubicBezTo>
              <a:cubicBezTo>
                <a:pt x="1120" y="138"/>
                <a:pt x="1121" y="139"/>
                <a:pt x="1121" y="140"/>
              </a:cubicBezTo>
              <a:cubicBezTo>
                <a:pt x="1122" y="142"/>
                <a:pt x="1123" y="144"/>
                <a:pt x="1123" y="146"/>
              </a:cubicBezTo>
              <a:cubicBezTo>
                <a:pt x="1124" y="146"/>
                <a:pt x="1124" y="147"/>
                <a:pt x="1124" y="147"/>
              </a:cubicBezTo>
              <a:cubicBezTo>
                <a:pt x="1123" y="148"/>
                <a:pt x="1122" y="148"/>
                <a:pt x="1120" y="148"/>
              </a:cubicBezTo>
              <a:cubicBezTo>
                <a:pt x="1108" y="148"/>
                <a:pt x="1108" y="148"/>
                <a:pt x="1108" y="148"/>
              </a:cubicBezTo>
              <a:cubicBezTo>
                <a:pt x="1082" y="149"/>
                <a:pt x="1082" y="149"/>
                <a:pt x="1082" y="149"/>
              </a:cubicBezTo>
              <a:cubicBezTo>
                <a:pt x="1079" y="149"/>
                <a:pt x="1079" y="149"/>
                <a:pt x="1079" y="149"/>
              </a:cubicBezTo>
              <a:cubicBezTo>
                <a:pt x="1079" y="152"/>
                <a:pt x="1079" y="152"/>
                <a:pt x="1079" y="152"/>
              </a:cubicBezTo>
              <a:cubicBezTo>
                <a:pt x="1080" y="165"/>
                <a:pt x="1080" y="165"/>
                <a:pt x="1080" y="165"/>
              </a:cubicBezTo>
              <a:cubicBezTo>
                <a:pt x="1080" y="168"/>
                <a:pt x="1080" y="168"/>
                <a:pt x="1080" y="168"/>
              </a:cubicBezTo>
              <a:cubicBezTo>
                <a:pt x="1083" y="168"/>
                <a:pt x="1083" y="168"/>
                <a:pt x="1083" y="168"/>
              </a:cubicBezTo>
              <a:cubicBezTo>
                <a:pt x="1129" y="169"/>
                <a:pt x="1129" y="169"/>
                <a:pt x="1129" y="169"/>
              </a:cubicBezTo>
              <a:cubicBezTo>
                <a:pt x="1153" y="170"/>
                <a:pt x="1153" y="170"/>
                <a:pt x="1153" y="170"/>
              </a:cubicBezTo>
              <a:cubicBezTo>
                <a:pt x="1165" y="170"/>
                <a:pt x="1165" y="170"/>
                <a:pt x="1165" y="170"/>
              </a:cubicBezTo>
              <a:cubicBezTo>
                <a:pt x="1168" y="170"/>
                <a:pt x="1172" y="170"/>
                <a:pt x="1176" y="170"/>
              </a:cubicBezTo>
              <a:cubicBezTo>
                <a:pt x="1180" y="170"/>
                <a:pt x="1184" y="171"/>
                <a:pt x="1188" y="171"/>
              </a:cubicBezTo>
              <a:cubicBezTo>
                <a:pt x="1190" y="171"/>
                <a:pt x="1192" y="171"/>
                <a:pt x="1194" y="170"/>
              </a:cubicBezTo>
              <a:cubicBezTo>
                <a:pt x="1195" y="170"/>
                <a:pt x="1195" y="170"/>
                <a:pt x="1195" y="170"/>
              </a:cubicBezTo>
              <a:cubicBezTo>
                <a:pt x="1195" y="170"/>
                <a:pt x="1196" y="170"/>
                <a:pt x="1196" y="170"/>
              </a:cubicBezTo>
              <a:cubicBezTo>
                <a:pt x="1196" y="170"/>
                <a:pt x="1196" y="170"/>
                <a:pt x="1197" y="169"/>
              </a:cubicBezTo>
              <a:cubicBezTo>
                <a:pt x="1197" y="169"/>
                <a:pt x="1197" y="169"/>
                <a:pt x="1197" y="169"/>
              </a:cubicBezTo>
              <a:cubicBezTo>
                <a:pt x="1197" y="169"/>
                <a:pt x="1198" y="168"/>
                <a:pt x="1198" y="168"/>
              </a:cubicBezTo>
              <a:cubicBezTo>
                <a:pt x="1198" y="167"/>
                <a:pt x="1198" y="167"/>
                <a:pt x="1198" y="166"/>
              </a:cubicBezTo>
              <a:cubicBezTo>
                <a:pt x="1199" y="165"/>
                <a:pt x="1199" y="164"/>
                <a:pt x="1199" y="163"/>
              </a:cubicBezTo>
              <a:cubicBezTo>
                <a:pt x="1200" y="155"/>
                <a:pt x="1200" y="147"/>
                <a:pt x="1200" y="139"/>
              </a:cubicBezTo>
              <a:cubicBezTo>
                <a:pt x="1200" y="131"/>
                <a:pt x="1200" y="123"/>
                <a:pt x="1198" y="115"/>
              </a:cubicBezTo>
              <a:cubicBezTo>
                <a:pt x="1198" y="114"/>
                <a:pt x="1198" y="113"/>
                <a:pt x="1197" y="112"/>
              </a:cubicBezTo>
              <a:cubicBezTo>
                <a:pt x="1197" y="111"/>
                <a:pt x="1196" y="110"/>
                <a:pt x="1195" y="109"/>
              </a:cubicBezTo>
              <a:cubicBezTo>
                <a:pt x="1195" y="109"/>
                <a:pt x="1193" y="109"/>
                <a:pt x="1193" y="109"/>
              </a:cubicBezTo>
              <a:cubicBezTo>
                <a:pt x="1190" y="108"/>
                <a:pt x="1188" y="108"/>
                <a:pt x="1186" y="108"/>
              </a:cubicBezTo>
              <a:cubicBezTo>
                <a:pt x="1182" y="109"/>
                <a:pt x="1178" y="110"/>
                <a:pt x="1176" y="110"/>
              </a:cubicBezTo>
              <a:cubicBezTo>
                <a:pt x="1176" y="109"/>
                <a:pt x="1177" y="108"/>
                <a:pt x="1178" y="107"/>
              </a:cubicBezTo>
              <a:cubicBezTo>
                <a:pt x="1180" y="105"/>
                <a:pt x="1183" y="102"/>
                <a:pt x="1186" y="99"/>
              </a:cubicBezTo>
              <a:cubicBezTo>
                <a:pt x="1192" y="94"/>
                <a:pt x="1198" y="89"/>
                <a:pt x="1204" y="84"/>
              </a:cubicBezTo>
              <a:cubicBezTo>
                <a:pt x="1210" y="79"/>
                <a:pt x="1216" y="74"/>
                <a:pt x="1222" y="69"/>
              </a:cubicBezTo>
              <a:cubicBezTo>
                <a:pt x="1239" y="53"/>
                <a:pt x="1239" y="53"/>
                <a:pt x="1239" y="53"/>
              </a:cubicBezTo>
              <a:cubicBezTo>
                <a:pt x="1257" y="38"/>
                <a:pt x="1257" y="38"/>
                <a:pt x="1257" y="38"/>
              </a:cubicBezTo>
              <a:cubicBezTo>
                <a:pt x="1265" y="30"/>
                <a:pt x="1265" y="30"/>
                <a:pt x="1265" y="30"/>
              </a:cubicBezTo>
              <a:cubicBezTo>
                <a:pt x="1268" y="27"/>
                <a:pt x="1271" y="24"/>
                <a:pt x="1274" y="21"/>
              </a:cubicBezTo>
              <a:cubicBezTo>
                <a:pt x="1279" y="16"/>
                <a:pt x="1285" y="11"/>
                <a:pt x="1291" y="8"/>
              </a:cubicBezTo>
              <a:cubicBezTo>
                <a:pt x="1294" y="7"/>
                <a:pt x="1297" y="6"/>
                <a:pt x="1300" y="8"/>
              </a:cubicBezTo>
              <a:cubicBezTo>
                <a:pt x="1303" y="9"/>
                <a:pt x="1307" y="11"/>
                <a:pt x="1310" y="13"/>
              </a:cubicBezTo>
              <a:cubicBezTo>
                <a:pt x="1321" y="22"/>
                <a:pt x="1332" y="35"/>
                <a:pt x="1345" y="44"/>
              </a:cubicBezTo>
              <a:cubicBezTo>
                <a:pt x="1357" y="53"/>
                <a:pt x="1370" y="62"/>
                <a:pt x="1382" y="72"/>
              </a:cubicBezTo>
              <a:cubicBezTo>
                <a:pt x="1388" y="77"/>
                <a:pt x="1395" y="81"/>
                <a:pt x="1401" y="86"/>
              </a:cubicBezTo>
              <a:cubicBezTo>
                <a:pt x="1407" y="90"/>
                <a:pt x="1414" y="95"/>
                <a:pt x="1419" y="99"/>
              </a:cubicBezTo>
              <a:cubicBezTo>
                <a:pt x="1417" y="100"/>
                <a:pt x="1416" y="100"/>
                <a:pt x="1415" y="100"/>
              </a:cubicBezTo>
              <a:cubicBezTo>
                <a:pt x="1411" y="101"/>
                <a:pt x="1407" y="102"/>
                <a:pt x="1403" y="102"/>
              </a:cubicBezTo>
              <a:cubicBezTo>
                <a:pt x="1399" y="103"/>
                <a:pt x="1396" y="103"/>
                <a:pt x="1391" y="104"/>
              </a:cubicBezTo>
              <a:cubicBezTo>
                <a:pt x="1391" y="104"/>
                <a:pt x="1391" y="105"/>
                <a:pt x="1390" y="105"/>
              </a:cubicBezTo>
              <a:cubicBezTo>
                <a:pt x="1390" y="105"/>
                <a:pt x="1390" y="105"/>
                <a:pt x="1390" y="105"/>
              </a:cubicBezTo>
              <a:cubicBezTo>
                <a:pt x="1389" y="105"/>
                <a:pt x="1389" y="105"/>
                <a:pt x="1388" y="106"/>
              </a:cubicBezTo>
              <a:cubicBezTo>
                <a:pt x="1388" y="106"/>
                <a:pt x="1388" y="107"/>
                <a:pt x="1388" y="107"/>
              </a:cubicBezTo>
              <a:cubicBezTo>
                <a:pt x="1388" y="108"/>
                <a:pt x="1388" y="108"/>
                <a:pt x="1388" y="109"/>
              </a:cubicBezTo>
              <a:cubicBezTo>
                <a:pt x="1388" y="109"/>
                <a:pt x="1388" y="109"/>
                <a:pt x="1388" y="109"/>
              </a:cubicBezTo>
              <a:cubicBezTo>
                <a:pt x="1388" y="112"/>
                <a:pt x="1388" y="112"/>
                <a:pt x="1388" y="112"/>
              </a:cubicBezTo>
              <a:cubicBezTo>
                <a:pt x="1388" y="118"/>
                <a:pt x="1388" y="118"/>
                <a:pt x="1388" y="118"/>
              </a:cubicBezTo>
              <a:cubicBezTo>
                <a:pt x="1389" y="134"/>
                <a:pt x="1390" y="149"/>
                <a:pt x="1392" y="164"/>
              </a:cubicBezTo>
              <a:cubicBezTo>
                <a:pt x="1382" y="164"/>
                <a:pt x="1382" y="164"/>
                <a:pt x="1382" y="164"/>
              </a:cubicBezTo>
              <a:cubicBezTo>
                <a:pt x="1372" y="165"/>
                <a:pt x="1363" y="165"/>
                <a:pt x="1353" y="165"/>
              </a:cubicBezTo>
              <a:cubicBezTo>
                <a:pt x="1353" y="165"/>
                <a:pt x="1352" y="165"/>
                <a:pt x="1352" y="165"/>
              </a:cubicBezTo>
              <a:cubicBezTo>
                <a:pt x="1344" y="165"/>
                <a:pt x="1337" y="164"/>
                <a:pt x="1329" y="164"/>
              </a:cubicBezTo>
              <a:cubicBezTo>
                <a:pt x="1323" y="163"/>
                <a:pt x="1323" y="163"/>
                <a:pt x="1323" y="163"/>
              </a:cubicBezTo>
              <a:cubicBezTo>
                <a:pt x="1320" y="163"/>
                <a:pt x="1320" y="163"/>
                <a:pt x="1320" y="163"/>
              </a:cubicBezTo>
              <a:cubicBezTo>
                <a:pt x="1319" y="163"/>
                <a:pt x="1319" y="163"/>
                <a:pt x="1319" y="163"/>
              </a:cubicBezTo>
              <a:cubicBezTo>
                <a:pt x="1319" y="163"/>
                <a:pt x="1319" y="162"/>
                <a:pt x="1319" y="162"/>
              </a:cubicBezTo>
              <a:cubicBezTo>
                <a:pt x="1319" y="161"/>
                <a:pt x="1319" y="160"/>
                <a:pt x="1319" y="159"/>
              </a:cubicBezTo>
              <a:cubicBezTo>
                <a:pt x="1319" y="157"/>
                <a:pt x="1319" y="156"/>
                <a:pt x="1318" y="154"/>
              </a:cubicBezTo>
              <a:cubicBezTo>
                <a:pt x="1318" y="138"/>
                <a:pt x="1318" y="123"/>
                <a:pt x="1318" y="107"/>
              </a:cubicBezTo>
              <a:cubicBezTo>
                <a:pt x="1318" y="104"/>
                <a:pt x="1318" y="104"/>
                <a:pt x="1318" y="104"/>
              </a:cubicBezTo>
              <a:cubicBezTo>
                <a:pt x="1315" y="104"/>
                <a:pt x="1315" y="104"/>
                <a:pt x="1315" y="104"/>
              </a:cubicBezTo>
              <a:cubicBezTo>
                <a:pt x="1267" y="104"/>
                <a:pt x="1267" y="104"/>
                <a:pt x="1267" y="104"/>
              </a:cubicBezTo>
              <a:cubicBezTo>
                <a:pt x="1264" y="104"/>
                <a:pt x="1264" y="104"/>
                <a:pt x="1264" y="104"/>
              </a:cubicBezTo>
              <a:cubicBezTo>
                <a:pt x="1264" y="107"/>
                <a:pt x="1264" y="107"/>
                <a:pt x="1264" y="107"/>
              </a:cubicBezTo>
              <a:cubicBezTo>
                <a:pt x="1264" y="170"/>
                <a:pt x="1264" y="170"/>
                <a:pt x="1264" y="170"/>
              </a:cubicBezTo>
              <a:cubicBezTo>
                <a:pt x="1264" y="173"/>
                <a:pt x="1264" y="173"/>
                <a:pt x="1264" y="173"/>
              </a:cubicBezTo>
              <a:cubicBezTo>
                <a:pt x="1267" y="173"/>
                <a:pt x="1267" y="173"/>
                <a:pt x="1267" y="173"/>
              </a:cubicBezTo>
              <a:cubicBezTo>
                <a:pt x="1296" y="172"/>
                <a:pt x="1325" y="172"/>
                <a:pt x="1354" y="171"/>
              </a:cubicBezTo>
              <a:cubicBezTo>
                <a:pt x="1361" y="171"/>
                <a:pt x="1368" y="172"/>
                <a:pt x="1375" y="172"/>
              </a:cubicBezTo>
              <a:cubicBezTo>
                <a:pt x="1379" y="172"/>
                <a:pt x="1383" y="172"/>
                <a:pt x="1387" y="172"/>
              </a:cubicBezTo>
              <a:cubicBezTo>
                <a:pt x="1389" y="171"/>
                <a:pt x="1391" y="171"/>
                <a:pt x="1393" y="171"/>
              </a:cubicBezTo>
              <a:cubicBezTo>
                <a:pt x="1394" y="171"/>
                <a:pt x="1394" y="171"/>
                <a:pt x="1395" y="171"/>
              </a:cubicBezTo>
              <a:cubicBezTo>
                <a:pt x="1395" y="171"/>
                <a:pt x="1395" y="171"/>
                <a:pt x="1396" y="171"/>
              </a:cubicBezTo>
              <a:cubicBezTo>
                <a:pt x="1396" y="171"/>
                <a:pt x="1397" y="171"/>
                <a:pt x="1398" y="170"/>
              </a:cubicBezTo>
              <a:cubicBezTo>
                <a:pt x="1398" y="170"/>
                <a:pt x="1398" y="170"/>
                <a:pt x="1398" y="170"/>
              </a:cubicBezTo>
              <a:cubicBezTo>
                <a:pt x="1411" y="169"/>
                <a:pt x="1411" y="169"/>
                <a:pt x="1411" y="169"/>
              </a:cubicBezTo>
              <a:cubicBezTo>
                <a:pt x="1418" y="169"/>
                <a:pt x="1418" y="169"/>
                <a:pt x="1418" y="169"/>
              </a:cubicBezTo>
              <a:cubicBezTo>
                <a:pt x="1420" y="169"/>
                <a:pt x="1423" y="170"/>
                <a:pt x="1426" y="169"/>
              </a:cubicBezTo>
              <a:cubicBezTo>
                <a:pt x="1426" y="169"/>
                <a:pt x="1427" y="168"/>
                <a:pt x="1427" y="168"/>
              </a:cubicBezTo>
              <a:cubicBezTo>
                <a:pt x="1427" y="168"/>
                <a:pt x="1428" y="167"/>
                <a:pt x="1428" y="167"/>
              </a:cubicBezTo>
              <a:cubicBezTo>
                <a:pt x="1429" y="165"/>
                <a:pt x="1429" y="165"/>
                <a:pt x="1429" y="165"/>
              </a:cubicBezTo>
              <a:cubicBezTo>
                <a:pt x="1432" y="163"/>
                <a:pt x="1432" y="163"/>
                <a:pt x="1432" y="163"/>
              </a:cubicBezTo>
              <a:cubicBezTo>
                <a:pt x="1433" y="161"/>
                <a:pt x="1435" y="159"/>
                <a:pt x="1436" y="157"/>
              </a:cubicBezTo>
              <a:cubicBezTo>
                <a:pt x="1439" y="154"/>
                <a:pt x="1443" y="150"/>
                <a:pt x="1446" y="148"/>
              </a:cubicBezTo>
              <a:cubicBezTo>
                <a:pt x="1448" y="146"/>
                <a:pt x="1450" y="145"/>
                <a:pt x="1452" y="144"/>
              </a:cubicBezTo>
              <a:cubicBezTo>
                <a:pt x="1452" y="144"/>
                <a:pt x="1452" y="144"/>
                <a:pt x="1452" y="144"/>
              </a:cubicBezTo>
              <a:cubicBezTo>
                <a:pt x="1450" y="147"/>
                <a:pt x="1447" y="150"/>
                <a:pt x="1445" y="154"/>
              </a:cubicBezTo>
              <a:cubicBezTo>
                <a:pt x="1444" y="155"/>
                <a:pt x="1444" y="156"/>
                <a:pt x="1443" y="157"/>
              </a:cubicBezTo>
              <a:cubicBezTo>
                <a:pt x="1443" y="158"/>
                <a:pt x="1442" y="158"/>
                <a:pt x="1442" y="159"/>
              </a:cubicBezTo>
              <a:cubicBezTo>
                <a:pt x="1442" y="160"/>
                <a:pt x="1442" y="160"/>
                <a:pt x="1442" y="162"/>
              </a:cubicBezTo>
              <a:cubicBezTo>
                <a:pt x="1442" y="162"/>
                <a:pt x="1442" y="162"/>
                <a:pt x="1442" y="163"/>
              </a:cubicBezTo>
              <a:cubicBezTo>
                <a:pt x="1443" y="163"/>
                <a:pt x="1443" y="163"/>
                <a:pt x="1443" y="163"/>
              </a:cubicBezTo>
              <a:cubicBezTo>
                <a:pt x="1443" y="163"/>
                <a:pt x="1443" y="164"/>
                <a:pt x="1443" y="164"/>
              </a:cubicBezTo>
              <a:cubicBezTo>
                <a:pt x="1444" y="164"/>
                <a:pt x="1445" y="164"/>
                <a:pt x="1446" y="164"/>
              </a:cubicBezTo>
              <a:cubicBezTo>
                <a:pt x="1447" y="164"/>
                <a:pt x="1447" y="163"/>
                <a:pt x="1448" y="163"/>
              </a:cubicBezTo>
              <a:cubicBezTo>
                <a:pt x="1449" y="162"/>
                <a:pt x="1450" y="161"/>
                <a:pt x="1451" y="161"/>
              </a:cubicBezTo>
              <a:cubicBezTo>
                <a:pt x="1454" y="158"/>
                <a:pt x="1457" y="154"/>
                <a:pt x="1460" y="152"/>
              </a:cubicBezTo>
              <a:cubicBezTo>
                <a:pt x="1457" y="157"/>
                <a:pt x="1457" y="157"/>
                <a:pt x="1457" y="157"/>
              </a:cubicBezTo>
              <a:cubicBezTo>
                <a:pt x="1457" y="158"/>
                <a:pt x="1456" y="159"/>
                <a:pt x="1456" y="161"/>
              </a:cubicBezTo>
              <a:cubicBezTo>
                <a:pt x="1455" y="161"/>
                <a:pt x="1455" y="162"/>
                <a:pt x="1455" y="163"/>
              </a:cubicBezTo>
              <a:cubicBezTo>
                <a:pt x="1455" y="164"/>
                <a:pt x="1455" y="165"/>
                <a:pt x="1456" y="166"/>
              </a:cubicBezTo>
              <a:cubicBezTo>
                <a:pt x="1456" y="166"/>
                <a:pt x="1457" y="167"/>
                <a:pt x="1458" y="167"/>
              </a:cubicBezTo>
              <a:cubicBezTo>
                <a:pt x="1459" y="168"/>
                <a:pt x="1459" y="168"/>
                <a:pt x="1460" y="168"/>
              </a:cubicBezTo>
              <a:cubicBezTo>
                <a:pt x="1461" y="168"/>
                <a:pt x="1463" y="168"/>
                <a:pt x="1464" y="168"/>
              </a:cubicBezTo>
              <a:cubicBezTo>
                <a:pt x="1469" y="167"/>
                <a:pt x="1473" y="166"/>
                <a:pt x="1478" y="165"/>
              </a:cubicBezTo>
              <a:cubicBezTo>
                <a:pt x="1488" y="163"/>
                <a:pt x="1497" y="161"/>
                <a:pt x="1506" y="160"/>
              </a:cubicBezTo>
              <a:cubicBezTo>
                <a:pt x="1516" y="159"/>
                <a:pt x="1526" y="159"/>
                <a:pt x="1535" y="159"/>
              </a:cubicBezTo>
              <a:cubicBezTo>
                <a:pt x="1573" y="160"/>
                <a:pt x="1612" y="163"/>
                <a:pt x="1650" y="166"/>
              </a:cubicBezTo>
              <a:cubicBezTo>
                <a:pt x="1612" y="162"/>
                <a:pt x="1574" y="158"/>
                <a:pt x="1535" y="157"/>
              </a:cubicBezTo>
              <a:close/>
              <a:moveTo>
                <a:pt x="1045" y="74"/>
              </a:moveTo>
              <a:cubicBezTo>
                <a:pt x="1045" y="74"/>
                <a:pt x="1045" y="74"/>
                <a:pt x="1045" y="74"/>
              </a:cubicBezTo>
              <a:cubicBezTo>
                <a:pt x="1046" y="74"/>
                <a:pt x="1046" y="74"/>
                <a:pt x="1046" y="74"/>
              </a:cubicBezTo>
              <a:cubicBezTo>
                <a:pt x="1045" y="74"/>
                <a:pt x="1045" y="75"/>
                <a:pt x="1045" y="74"/>
              </a:cubicBezTo>
              <a:close/>
              <a:moveTo>
                <a:pt x="1081" y="25"/>
              </a:moveTo>
              <a:cubicBezTo>
                <a:pt x="1081" y="25"/>
                <a:pt x="1081" y="25"/>
                <a:pt x="1081" y="25"/>
              </a:cubicBezTo>
              <a:cubicBezTo>
                <a:pt x="1081" y="25"/>
                <a:pt x="1081" y="25"/>
                <a:pt x="1081" y="25"/>
              </a:cubicBezTo>
              <a:cubicBezTo>
                <a:pt x="1081" y="25"/>
                <a:pt x="1081" y="25"/>
                <a:pt x="1081" y="25"/>
              </a:cubicBezTo>
              <a:close/>
              <a:moveTo>
                <a:pt x="1084" y="30"/>
              </a:moveTo>
              <a:cubicBezTo>
                <a:pt x="1084" y="30"/>
                <a:pt x="1084" y="30"/>
                <a:pt x="1084" y="30"/>
              </a:cubicBezTo>
              <a:cubicBezTo>
                <a:pt x="1084" y="30"/>
                <a:pt x="1084" y="30"/>
                <a:pt x="1084" y="30"/>
              </a:cubicBezTo>
              <a:close/>
              <a:moveTo>
                <a:pt x="1084" y="30"/>
              </a:moveTo>
              <a:cubicBezTo>
                <a:pt x="1084" y="30"/>
                <a:pt x="1084" y="30"/>
                <a:pt x="1084" y="30"/>
              </a:cubicBezTo>
              <a:cubicBezTo>
                <a:pt x="1084" y="30"/>
                <a:pt x="1084" y="30"/>
                <a:pt x="1084" y="30"/>
              </a:cubicBezTo>
              <a:cubicBezTo>
                <a:pt x="1085" y="30"/>
                <a:pt x="1085" y="30"/>
                <a:pt x="1085" y="30"/>
              </a:cubicBezTo>
              <a:cubicBezTo>
                <a:pt x="1085" y="30"/>
                <a:pt x="1084" y="30"/>
                <a:pt x="1084" y="30"/>
              </a:cubicBezTo>
              <a:close/>
              <a:moveTo>
                <a:pt x="1123" y="130"/>
              </a:moveTo>
              <a:cubicBezTo>
                <a:pt x="1123" y="130"/>
                <a:pt x="1123" y="130"/>
                <a:pt x="1123" y="130"/>
              </a:cubicBezTo>
              <a:cubicBezTo>
                <a:pt x="1123" y="130"/>
                <a:pt x="1123" y="130"/>
                <a:pt x="1123" y="130"/>
              </a:cubicBezTo>
              <a:cubicBezTo>
                <a:pt x="1123" y="130"/>
                <a:pt x="1123" y="130"/>
                <a:pt x="1123" y="130"/>
              </a:cubicBezTo>
              <a:cubicBezTo>
                <a:pt x="1123" y="130"/>
                <a:pt x="1123" y="130"/>
                <a:pt x="1123" y="130"/>
              </a:cubicBezTo>
              <a:close/>
              <a:moveTo>
                <a:pt x="1270" y="167"/>
              </a:moveTo>
              <a:cubicBezTo>
                <a:pt x="1270" y="110"/>
                <a:pt x="1270" y="110"/>
                <a:pt x="1270" y="110"/>
              </a:cubicBezTo>
              <a:cubicBezTo>
                <a:pt x="1312" y="110"/>
                <a:pt x="1312" y="110"/>
                <a:pt x="1312" y="110"/>
              </a:cubicBezTo>
              <a:cubicBezTo>
                <a:pt x="1312" y="125"/>
                <a:pt x="1312" y="139"/>
                <a:pt x="1312" y="154"/>
              </a:cubicBezTo>
              <a:cubicBezTo>
                <a:pt x="1313" y="156"/>
                <a:pt x="1313" y="158"/>
                <a:pt x="1313" y="160"/>
              </a:cubicBezTo>
              <a:cubicBezTo>
                <a:pt x="1313" y="161"/>
                <a:pt x="1313" y="162"/>
                <a:pt x="1313" y="163"/>
              </a:cubicBezTo>
              <a:cubicBezTo>
                <a:pt x="1313" y="164"/>
                <a:pt x="1314" y="164"/>
                <a:pt x="1314" y="165"/>
              </a:cubicBezTo>
              <a:cubicBezTo>
                <a:pt x="1314" y="165"/>
                <a:pt x="1314" y="165"/>
                <a:pt x="1314" y="166"/>
              </a:cubicBezTo>
              <a:cubicBezTo>
                <a:pt x="1299" y="166"/>
                <a:pt x="1284" y="167"/>
                <a:pt x="1270" y="167"/>
              </a:cubicBezTo>
              <a:close/>
            </a:path>
          </a:pathLst>
        </a:custGeom>
        <a:ln/>
      </xdr:spPr>
      <xdr:style>
        <a:lnRef idx="2">
          <a:schemeClr val="accent1">
            <a:shade val="50000"/>
          </a:schemeClr>
        </a:lnRef>
        <a:fillRef idx="1">
          <a:schemeClr val="accent1"/>
        </a:fillRef>
        <a:effectRef idx="0">
          <a:schemeClr val="accent1"/>
        </a:effectRef>
        <a:fontRef idx="minor">
          <a:schemeClr val="lt1"/>
        </a:fontRef>
      </xdr:style>
    </xdr:sp>
    <xdr:clientData/>
  </xdr:twoCellAnchor>
  <xdr:twoCellAnchor>
    <xdr:from>
      <xdr:col>13</xdr:col>
      <xdr:colOff>466725</xdr:colOff>
      <xdr:row>3</xdr:row>
      <xdr:rowOff>0</xdr:rowOff>
    </xdr:from>
    <xdr:to>
      <xdr:col>15</xdr:col>
      <xdr:colOff>400050</xdr:colOff>
      <xdr:row>3</xdr:row>
      <xdr:rowOff>247650</xdr:rowOff>
    </xdr:to>
    <xdr:sp macro="" textlink="">
      <xdr:nvSpPr>
        <xdr:cNvPr id="3" name="Légende encadrée avec une bordure 3 2">
          <a:hlinkClick xmlns:r="http://schemas.openxmlformats.org/officeDocument/2006/relationships" r:id="rId1"/>
          <a:extLst>
            <a:ext uri="{FF2B5EF4-FFF2-40B4-BE49-F238E27FC236}">
              <a16:creationId xmlns:a16="http://schemas.microsoft.com/office/drawing/2014/main" id="{00000000-0008-0000-0400-000003000000}"/>
            </a:ext>
          </a:extLst>
        </xdr:cNvPr>
        <xdr:cNvSpPr/>
      </xdr:nvSpPr>
      <xdr:spPr>
        <a:xfrm>
          <a:off x="12353925" y="723900"/>
          <a:ext cx="1762125" cy="247650"/>
        </a:xfrm>
        <a:prstGeom prst="accentBorderCallout3">
          <a:avLst/>
        </a:prstGeom>
        <a:solidFill>
          <a:schemeClr val="accent1">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400">
              <a:solidFill>
                <a:schemeClr val="tx2"/>
              </a:solidFill>
              <a:latin typeface="Gill Sans MT" panose="020B0502020104020203" pitchFamily="34" charset="0"/>
            </a:rPr>
            <a:t>GO HOME</a:t>
          </a:r>
        </a:p>
      </xdr:txBody>
    </xdr:sp>
    <xdr:clientData/>
  </xdr:twoCellAnchor>
  <xdr:twoCellAnchor>
    <xdr:from>
      <xdr:col>11</xdr:col>
      <xdr:colOff>409575</xdr:colOff>
      <xdr:row>3</xdr:row>
      <xdr:rowOff>0</xdr:rowOff>
    </xdr:from>
    <xdr:to>
      <xdr:col>13</xdr:col>
      <xdr:colOff>333375</xdr:colOff>
      <xdr:row>3</xdr:row>
      <xdr:rowOff>247650</xdr:rowOff>
    </xdr:to>
    <xdr:sp macro="" textlink="">
      <xdr:nvSpPr>
        <xdr:cNvPr id="4" name="Légende encadrée avec une bordure 3 3">
          <a:hlinkClick xmlns:r="http://schemas.openxmlformats.org/officeDocument/2006/relationships" r:id="rId2"/>
          <a:extLst>
            <a:ext uri="{FF2B5EF4-FFF2-40B4-BE49-F238E27FC236}">
              <a16:creationId xmlns:a16="http://schemas.microsoft.com/office/drawing/2014/main" id="{00000000-0008-0000-0400-000004000000}"/>
            </a:ext>
          </a:extLst>
        </xdr:cNvPr>
        <xdr:cNvSpPr/>
      </xdr:nvSpPr>
      <xdr:spPr>
        <a:xfrm>
          <a:off x="10458450" y="723900"/>
          <a:ext cx="1762125" cy="247650"/>
        </a:xfrm>
        <a:prstGeom prst="accentBorderCallout3">
          <a:avLst/>
        </a:prstGeom>
        <a:solidFill>
          <a:schemeClr val="accent1">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400">
              <a:solidFill>
                <a:schemeClr val="tx2"/>
              </a:solidFill>
              <a:latin typeface="Gill Sans MT" panose="020B0502020104020203" pitchFamily="34" charset="0"/>
            </a:rPr>
            <a:t>RETOUR</a:t>
          </a:r>
        </a:p>
      </xdr:txBody>
    </xdr:sp>
    <xdr:clientData/>
  </xdr:twoCellAnchor>
  <xdr:twoCellAnchor>
    <xdr:from>
      <xdr:col>0</xdr:col>
      <xdr:colOff>161924</xdr:colOff>
      <xdr:row>7</xdr:row>
      <xdr:rowOff>19050</xdr:rowOff>
    </xdr:from>
    <xdr:to>
      <xdr:col>8</xdr:col>
      <xdr:colOff>733425</xdr:colOff>
      <xdr:row>22</xdr:row>
      <xdr:rowOff>114300</xdr:rowOff>
    </xdr:to>
    <xdr:graphicFrame macro="">
      <xdr:nvGraphicFramePr>
        <xdr:cNvPr id="5" name="Graphique 4">
          <a:extLst>
            <a:ext uri="{FF2B5EF4-FFF2-40B4-BE49-F238E27FC236}">
              <a16:creationId xmlns:a16="http://schemas.microsoft.com/office/drawing/2014/main" id="{00000000-0008-0000-0400-000005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8</xdr:col>
      <xdr:colOff>752474</xdr:colOff>
      <xdr:row>7</xdr:row>
      <xdr:rowOff>19048</xdr:rowOff>
    </xdr:from>
    <xdr:to>
      <xdr:col>15</xdr:col>
      <xdr:colOff>561975</xdr:colOff>
      <xdr:row>22</xdr:row>
      <xdr:rowOff>114300</xdr:rowOff>
    </xdr:to>
    <xdr:graphicFrame macro="">
      <xdr:nvGraphicFramePr>
        <xdr:cNvPr id="7" name="Graphique 6">
          <a:extLst>
            <a:ext uri="{FF2B5EF4-FFF2-40B4-BE49-F238E27FC236}">
              <a16:creationId xmlns:a16="http://schemas.microsoft.com/office/drawing/2014/main" id="{00000000-0008-0000-0400-000007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9</xdr:col>
      <xdr:colOff>247650</xdr:colOff>
      <xdr:row>3</xdr:row>
      <xdr:rowOff>0</xdr:rowOff>
    </xdr:from>
    <xdr:to>
      <xdr:col>11</xdr:col>
      <xdr:colOff>238125</xdr:colOff>
      <xdr:row>3</xdr:row>
      <xdr:rowOff>246152</xdr:rowOff>
    </xdr:to>
    <xdr:sp macro="" textlink="">
      <xdr:nvSpPr>
        <xdr:cNvPr id="8" name="Légende encadrée avec une bordure 3 7">
          <a:hlinkClick xmlns:r="http://schemas.openxmlformats.org/officeDocument/2006/relationships" r:id="rId5"/>
          <a:extLst>
            <a:ext uri="{FF2B5EF4-FFF2-40B4-BE49-F238E27FC236}">
              <a16:creationId xmlns:a16="http://schemas.microsoft.com/office/drawing/2014/main" id="{00000000-0008-0000-0400-000008000000}"/>
            </a:ext>
          </a:extLst>
        </xdr:cNvPr>
        <xdr:cNvSpPr/>
      </xdr:nvSpPr>
      <xdr:spPr>
        <a:xfrm>
          <a:off x="8524875" y="723900"/>
          <a:ext cx="1762125" cy="246152"/>
        </a:xfrm>
        <a:prstGeom prst="accentBorderCallout3">
          <a:avLst/>
        </a:prstGeom>
        <a:solidFill>
          <a:schemeClr val="accent1">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400">
              <a:solidFill>
                <a:schemeClr val="tx2"/>
              </a:solidFill>
              <a:latin typeface="Gill Sans MT" panose="020B0502020104020203" pitchFamily="34" charset="0"/>
            </a:rPr>
            <a:t>DETAILS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8</xdr:col>
      <xdr:colOff>54652</xdr:colOff>
      <xdr:row>2</xdr:row>
      <xdr:rowOff>54741</xdr:rowOff>
    </xdr:from>
    <xdr:to>
      <xdr:col>19</xdr:col>
      <xdr:colOff>372242</xdr:colOff>
      <xdr:row>30</xdr:row>
      <xdr:rowOff>91796</xdr:rowOff>
    </xdr:to>
    <xdr:graphicFrame macro="">
      <xdr:nvGraphicFramePr>
        <xdr:cNvPr id="2" name="Graphique 1">
          <a:extLst>
            <a:ext uri="{FF2B5EF4-FFF2-40B4-BE49-F238E27FC236}">
              <a16:creationId xmlns:a16="http://schemas.microsoft.com/office/drawing/2014/main" id="{00000000-0008-0000-05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12</xdr:col>
      <xdr:colOff>346654</xdr:colOff>
      <xdr:row>1</xdr:row>
      <xdr:rowOff>124297</xdr:rowOff>
    </xdr:from>
    <xdr:to>
      <xdr:col>14</xdr:col>
      <xdr:colOff>183173</xdr:colOff>
      <xdr:row>1</xdr:row>
      <xdr:rowOff>402981</xdr:rowOff>
    </xdr:to>
    <xdr:sp macro="" textlink="">
      <xdr:nvSpPr>
        <xdr:cNvPr id="4" name="Légende encadrée avec une bordure 3 3">
          <a:hlinkClick xmlns:r="http://schemas.openxmlformats.org/officeDocument/2006/relationships" r:id="rId2"/>
          <a:extLst>
            <a:ext uri="{FF2B5EF4-FFF2-40B4-BE49-F238E27FC236}">
              <a16:creationId xmlns:a16="http://schemas.microsoft.com/office/drawing/2014/main" id="{00000000-0008-0000-0500-000004000000}"/>
            </a:ext>
          </a:extLst>
        </xdr:cNvPr>
        <xdr:cNvSpPr/>
      </xdr:nvSpPr>
      <xdr:spPr>
        <a:xfrm>
          <a:off x="14231173" y="246412"/>
          <a:ext cx="1350750" cy="278684"/>
        </a:xfrm>
        <a:prstGeom prst="accentBorderCallout3">
          <a:avLst/>
        </a:prstGeom>
        <a:solidFill>
          <a:schemeClr val="accent3">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600">
              <a:solidFill>
                <a:schemeClr val="tx2"/>
              </a:solidFill>
              <a:latin typeface="Gill Sans MT" panose="020B0502020104020203" pitchFamily="34" charset="0"/>
            </a:rPr>
            <a:t>GO HOME</a:t>
          </a:r>
        </a:p>
      </xdr:txBody>
    </xdr:sp>
    <xdr:clientData/>
  </xdr:twoCellAnchor>
  <xdr:twoCellAnchor>
    <xdr:from>
      <xdr:col>14</xdr:col>
      <xdr:colOff>299185</xdr:colOff>
      <xdr:row>1</xdr:row>
      <xdr:rowOff>124296</xdr:rowOff>
    </xdr:from>
    <xdr:to>
      <xdr:col>16</xdr:col>
      <xdr:colOff>134326</xdr:colOff>
      <xdr:row>1</xdr:row>
      <xdr:rowOff>402981</xdr:rowOff>
    </xdr:to>
    <xdr:sp macro="" textlink="">
      <xdr:nvSpPr>
        <xdr:cNvPr id="6" name="Légende encadrée avec une bordure 3 5">
          <a:hlinkClick xmlns:r="http://schemas.openxmlformats.org/officeDocument/2006/relationships" r:id="rId3"/>
          <a:extLst>
            <a:ext uri="{FF2B5EF4-FFF2-40B4-BE49-F238E27FC236}">
              <a16:creationId xmlns:a16="http://schemas.microsoft.com/office/drawing/2014/main" id="{00000000-0008-0000-0500-000006000000}"/>
            </a:ext>
          </a:extLst>
        </xdr:cNvPr>
        <xdr:cNvSpPr/>
      </xdr:nvSpPr>
      <xdr:spPr>
        <a:xfrm>
          <a:off x="15697935" y="246411"/>
          <a:ext cx="1349372" cy="278685"/>
        </a:xfrm>
        <a:prstGeom prst="accentBorderCallout3">
          <a:avLst/>
        </a:prstGeom>
        <a:solidFill>
          <a:schemeClr val="accent3">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ctr"/>
          <a:r>
            <a:rPr lang="fr-FR" sz="1600">
              <a:solidFill>
                <a:schemeClr val="tx2"/>
              </a:solidFill>
              <a:latin typeface="Gill Sans MT" panose="020B0502020104020203" pitchFamily="34" charset="0"/>
            </a:rPr>
            <a:t>RETOUR</a:t>
          </a:r>
        </a:p>
      </xdr:txBody>
    </xdr:sp>
    <xdr:clientData/>
  </xdr:twoCellAnchor>
  <xdr:twoCellAnchor>
    <xdr:from>
      <xdr:col>16</xdr:col>
      <xdr:colOff>359804</xdr:colOff>
      <xdr:row>1</xdr:row>
      <xdr:rowOff>124295</xdr:rowOff>
    </xdr:from>
    <xdr:to>
      <xdr:col>18</xdr:col>
      <xdr:colOff>378557</xdr:colOff>
      <xdr:row>1</xdr:row>
      <xdr:rowOff>402980</xdr:rowOff>
    </xdr:to>
    <xdr:sp macro="[0]!ACTUALISER" textlink="">
      <xdr:nvSpPr>
        <xdr:cNvPr id="8" name="Légende encadrée avec une bordure 3 7">
          <a:extLst>
            <a:ext uri="{FF2B5EF4-FFF2-40B4-BE49-F238E27FC236}">
              <a16:creationId xmlns:a16="http://schemas.microsoft.com/office/drawing/2014/main" id="{00000000-0008-0000-0500-000008000000}"/>
            </a:ext>
          </a:extLst>
        </xdr:cNvPr>
        <xdr:cNvSpPr/>
      </xdr:nvSpPr>
      <xdr:spPr>
        <a:xfrm>
          <a:off x="17272785" y="246410"/>
          <a:ext cx="1532984" cy="278685"/>
        </a:xfrm>
        <a:prstGeom prst="accentBorderCallout3">
          <a:avLst/>
        </a:prstGeom>
        <a:solidFill>
          <a:schemeClr val="accent3">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600">
              <a:solidFill>
                <a:schemeClr val="tx2"/>
              </a:solidFill>
              <a:latin typeface="Gill Sans MT" panose="020B0502020104020203" pitchFamily="34" charset="0"/>
            </a:rPr>
            <a:t>ACTUALISER</a:t>
          </a:r>
        </a:p>
      </xdr:txBody>
    </xdr:sp>
    <xdr:clientData/>
  </xdr:twoCellAnchor>
  <xdr:twoCellAnchor editAs="oneCell">
    <xdr:from>
      <xdr:col>1</xdr:col>
      <xdr:colOff>112172</xdr:colOff>
      <xdr:row>2</xdr:row>
      <xdr:rowOff>1</xdr:rowOff>
    </xdr:from>
    <xdr:to>
      <xdr:col>2</xdr:col>
      <xdr:colOff>2079625</xdr:colOff>
      <xdr:row>38</xdr:row>
      <xdr:rowOff>49453</xdr:rowOff>
    </xdr:to>
    <mc:AlternateContent xmlns:mc="http://schemas.openxmlformats.org/markup-compatibility/2006" xmlns:a14="http://schemas.microsoft.com/office/drawing/2010/main">
      <mc:Choice Requires="a14">
        <xdr:graphicFrame macro="">
          <xdr:nvGraphicFramePr>
            <xdr:cNvPr id="13" name="MOIS">
              <a:extLst>
                <a:ext uri="{FF2B5EF4-FFF2-40B4-BE49-F238E27FC236}">
                  <a16:creationId xmlns:a16="http://schemas.microsoft.com/office/drawing/2014/main" id="{00000000-0008-0000-0500-00000D000000}"/>
                </a:ext>
              </a:extLst>
            </xdr:cNvPr>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mlns="">
        <xdr:sp macro="" textlink="">
          <xdr:nvSpPr>
            <xdr:cNvPr id="0" name=""/>
            <xdr:cNvSpPr>
              <a:spLocks noTextEdit="1"/>
            </xdr:cNvSpPr>
          </xdr:nvSpPr>
          <xdr:spPr>
            <a:xfrm>
              <a:off x="366172" y="730251"/>
              <a:ext cx="2221453" cy="7923452"/>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666750</xdr:colOff>
          <xdr:row>0</xdr:row>
          <xdr:rowOff>66675</xdr:rowOff>
        </xdr:from>
        <xdr:to>
          <xdr:col>15</xdr:col>
          <xdr:colOff>523875</xdr:colOff>
          <xdr:row>1</xdr:row>
          <xdr:rowOff>95250</xdr:rowOff>
        </xdr:to>
        <xdr:sp macro="" textlink="">
          <xdr:nvSpPr>
            <xdr:cNvPr id="10244" name="Button 4" hidden="1">
              <a:extLst>
                <a:ext uri="{63B3BB69-23CF-44E3-9099-C40C66FF867C}">
                  <a14:compatExt spid="_x0000_s10244"/>
                </a:ext>
                <a:ext uri="{FF2B5EF4-FFF2-40B4-BE49-F238E27FC236}">
                  <a16:creationId xmlns:a16="http://schemas.microsoft.com/office/drawing/2014/main" id="{00000000-0008-0000-0600-000004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RE-COMMENCER</a:t>
              </a:r>
            </a:p>
          </xdr:txBody>
        </xdr:sp>
        <xdr:clientData fLocksWithSheet="0" fPrintsWithSheet="0"/>
      </xdr:twoCellAnchor>
    </mc:Choice>
    <mc:Fallback/>
  </mc:AlternateContent>
  <xdr:twoCellAnchor>
    <xdr:from>
      <xdr:col>12</xdr:col>
      <xdr:colOff>152400</xdr:colOff>
      <xdr:row>0</xdr:row>
      <xdr:rowOff>76199</xdr:rowOff>
    </xdr:from>
    <xdr:to>
      <xdr:col>13</xdr:col>
      <xdr:colOff>590549</xdr:colOff>
      <xdr:row>1</xdr:row>
      <xdr:rowOff>85725</xdr:rowOff>
    </xdr:to>
    <xdr:sp macro="" textlink="">
      <xdr:nvSpPr>
        <xdr:cNvPr id="6" name="Légende encadrée avec une bordure 3 5">
          <a:hlinkClick xmlns:r="http://schemas.openxmlformats.org/officeDocument/2006/relationships" r:id="rId1"/>
          <a:extLst>
            <a:ext uri="{FF2B5EF4-FFF2-40B4-BE49-F238E27FC236}">
              <a16:creationId xmlns:a16="http://schemas.microsoft.com/office/drawing/2014/main" id="{00000000-0008-0000-0600-000006000000}"/>
            </a:ext>
          </a:extLst>
        </xdr:cNvPr>
        <xdr:cNvSpPr/>
      </xdr:nvSpPr>
      <xdr:spPr>
        <a:xfrm>
          <a:off x="11077575" y="76199"/>
          <a:ext cx="1200149" cy="200026"/>
        </a:xfrm>
        <a:prstGeom prst="accentBorderCallout3">
          <a:avLst/>
        </a:prstGeom>
        <a:solidFill>
          <a:schemeClr val="accent1">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ctr"/>
        <a:lstStyle/>
        <a:p>
          <a:pPr algn="l"/>
          <a:r>
            <a:rPr lang="fr-FR" sz="1100">
              <a:solidFill>
                <a:schemeClr val="tx2"/>
              </a:solidFill>
              <a:latin typeface="Gill Sans MT" panose="020B0502020104020203" pitchFamily="34" charset="0"/>
            </a:rPr>
            <a:t>GO HOME</a:t>
          </a:r>
        </a:p>
      </xdr:txBody>
    </xdr:sp>
    <xdr:clientData fLocksWithSheet="0"/>
  </xdr:twoCellAnchor>
</xdr:wsDr>
</file>

<file path=xl/drawings/drawing7.xml><?xml version="1.0" encoding="utf-8"?>
<xdr:wsDr xmlns:xdr="http://schemas.openxmlformats.org/drawingml/2006/spreadsheetDrawing" xmlns:a="http://schemas.openxmlformats.org/drawingml/2006/main">
  <xdr:twoCellAnchor>
    <xdr:from>
      <xdr:col>1</xdr:col>
      <xdr:colOff>266700</xdr:colOff>
      <xdr:row>0</xdr:row>
      <xdr:rowOff>104775</xdr:rowOff>
    </xdr:from>
    <xdr:to>
      <xdr:col>2</xdr:col>
      <xdr:colOff>466725</xdr:colOff>
      <xdr:row>1</xdr:row>
      <xdr:rowOff>161925</xdr:rowOff>
    </xdr:to>
    <xdr:sp macro="" textlink="">
      <xdr:nvSpPr>
        <xdr:cNvPr id="3" name="Légende encadrée avec une bordure 3 2">
          <a:hlinkClick xmlns:r="http://schemas.openxmlformats.org/officeDocument/2006/relationships" r:id="rId1"/>
          <a:extLst>
            <a:ext uri="{FF2B5EF4-FFF2-40B4-BE49-F238E27FC236}">
              <a16:creationId xmlns:a16="http://schemas.microsoft.com/office/drawing/2014/main" id="{00000000-0008-0000-0700-000003000000}"/>
            </a:ext>
          </a:extLst>
        </xdr:cNvPr>
        <xdr:cNvSpPr/>
      </xdr:nvSpPr>
      <xdr:spPr>
        <a:xfrm>
          <a:off x="457200" y="104775"/>
          <a:ext cx="1762125" cy="247650"/>
        </a:xfrm>
        <a:prstGeom prst="accentBorderCallout3">
          <a:avLst/>
        </a:prstGeom>
        <a:solidFill>
          <a:schemeClr val="accent1">
            <a:lumMod val="20000"/>
            <a:lumOff val="80000"/>
          </a:schemeClr>
        </a:solidFill>
      </xdr:spPr>
      <xdr:style>
        <a:lnRef idx="0">
          <a:schemeClr val="dk1"/>
        </a:lnRef>
        <a:fillRef idx="3">
          <a:schemeClr val="dk1"/>
        </a:fillRef>
        <a:effectRef idx="3">
          <a:schemeClr val="dk1"/>
        </a:effectRef>
        <a:fontRef idx="minor">
          <a:schemeClr val="lt1"/>
        </a:fontRef>
      </xdr:style>
      <xdr:txBody>
        <a:bodyPr vertOverflow="clip" horzOverflow="clip" rtlCol="0" anchor="t"/>
        <a:lstStyle/>
        <a:p>
          <a:pPr algn="l"/>
          <a:r>
            <a:rPr lang="fr-FR" sz="1400">
              <a:solidFill>
                <a:schemeClr val="tx2"/>
              </a:solidFill>
              <a:latin typeface="Gill Sans MT" panose="020B0502020104020203" pitchFamily="34" charset="0"/>
            </a:rPr>
            <a:t>GO</a:t>
          </a:r>
          <a:r>
            <a:rPr lang="fr-FR" sz="1400" baseline="0">
              <a:solidFill>
                <a:schemeClr val="tx2"/>
              </a:solidFill>
              <a:latin typeface="Gill Sans MT" panose="020B0502020104020203" pitchFamily="34" charset="0"/>
            </a:rPr>
            <a:t> </a:t>
          </a:r>
          <a:r>
            <a:rPr lang="fr-FR" sz="1400">
              <a:solidFill>
                <a:schemeClr val="tx2"/>
              </a:solidFill>
              <a:latin typeface="Gill Sans MT" panose="020B0502020104020203" pitchFamily="34" charset="0"/>
            </a:rPr>
            <a:t>HOME</a:t>
          </a:r>
        </a:p>
      </xdr:txBody>
    </xdr:sp>
    <xdr:clientData/>
  </xdr:twoCellAnchor>
  <mc:AlternateContent xmlns:mc="http://schemas.openxmlformats.org/markup-compatibility/2006">
    <mc:Choice xmlns:a14="http://schemas.microsoft.com/office/drawing/2010/main" Requires="a14">
      <xdr:twoCellAnchor>
        <xdr:from>
          <xdr:col>2</xdr:col>
          <xdr:colOff>581025</xdr:colOff>
          <xdr:row>0</xdr:row>
          <xdr:rowOff>114300</xdr:rowOff>
        </xdr:from>
        <xdr:to>
          <xdr:col>3</xdr:col>
          <xdr:colOff>704850</xdr:colOff>
          <xdr:row>1</xdr:row>
          <xdr:rowOff>152400</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700-000001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RECOMMENCER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762000</xdr:colOff>
          <xdr:row>0</xdr:row>
          <xdr:rowOff>114300</xdr:rowOff>
        </xdr:from>
        <xdr:to>
          <xdr:col>4</xdr:col>
          <xdr:colOff>981075</xdr:colOff>
          <xdr:row>1</xdr:row>
          <xdr:rowOff>152400</xdr:rowOff>
        </xdr:to>
        <xdr:sp macro="" textlink="">
          <xdr:nvSpPr>
            <xdr:cNvPr id="4098" name="Button 2" hidden="1">
              <a:extLst>
                <a:ext uri="{63B3BB69-23CF-44E3-9099-C40C66FF867C}">
                  <a14:compatExt spid="_x0000_s4098"/>
                </a:ext>
                <a:ext uri="{FF2B5EF4-FFF2-40B4-BE49-F238E27FC236}">
                  <a16:creationId xmlns:a16="http://schemas.microsoft.com/office/drawing/2014/main" id="{00000000-0008-0000-0700-000002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SUPPRIMER LES DONNEES</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BEN LAHBIB" refreshedDate="44645.930208912039" createdVersion="5" refreshedVersion="6" minRefreshableVersion="3" recordCount="28" xr:uid="{00000000-000A-0000-FFFF-FFFF19000000}">
  <cacheSource type="worksheet">
    <worksheetSource name="Tableau1"/>
  </cacheSource>
  <cacheFields count="6">
    <cacheField name="DATE" numFmtId="14">
      <sharedItems containsNonDate="0" containsDate="1" containsString="0" containsBlank="1" minDate="2022-01-01T00:00:00" maxDate="2022-03-01T00:00:00"/>
    </cacheField>
    <cacheField name="OPERATIONS" numFmtId="0">
      <sharedItems containsBlank="1"/>
    </cacheField>
    <cacheField name="DESCRIPTION" numFmtId="0">
      <sharedItems containsBlank="1" count="46">
        <m/>
        <s v="Prêt 1"/>
        <s v="HAMMAM"/>
        <s v="Habillement"/>
        <s v="Internet et Téléphone"/>
        <s v="Fournitures"/>
        <s v="Restaurant"/>
        <s v="Café"/>
        <s v="Coiffeur"/>
        <s v="Parents"/>
        <s v="Co-voiturage"/>
        <s v="Logement"/>
        <s v="Transport Commun"/>
        <s v="Charité"/>
        <s v="Aymane"/>
        <s v="Ihssane"/>
        <s v="Nourritures"/>
        <s v="Eau, Electricité, Gaz"/>
        <s v="Club de sport" u="1"/>
        <s v="Ménage" u="1"/>
        <s v="Soufiane" u="1"/>
        <s v="أطفال" u="1"/>
        <s v="Loisirs 1 " u="1"/>
        <s v="Snack" u="1"/>
        <s v="Livres" u="1"/>
        <s v="Télephone et Internet" u="1"/>
        <s v="Eau, électricité et gaz" u="1"/>
        <s v="FATIMA" u="1"/>
        <s v="Driss" u="1"/>
        <s v="Voiture" u="1"/>
        <s v="Enfants" u="1"/>
        <s v="Loisirs 1" u="1"/>
        <s v="Maquillage" u="1"/>
        <s v="Repas" u="1"/>
        <s v="Meryem" u="1"/>
        <s v="Équipements de sport" u="1"/>
        <s v="K" u="1"/>
        <s v="Sœurs" u="1"/>
        <s v="Entretien/Réparations" u="1"/>
        <s v="AISHA" u="1"/>
        <s v="Soins" u="1"/>
        <s v="Vétérinaire" u="1"/>
        <s v="Amie" u="1"/>
        <s v="Hygiène" u="1"/>
        <s v="Médicaments " u="1"/>
        <s v="Autres" u="1"/>
      </sharedItems>
    </cacheField>
    <cacheField name="MONTANT" numFmtId="165">
      <sharedItems containsString="0" containsBlank="1" containsNumber="1" containsInteger="1" minValue="100" maxValue="1500"/>
    </cacheField>
    <cacheField name="V" numFmtId="0">
      <sharedItems containsString="0" containsBlank="1" containsNumber="1" containsInteger="1" minValue="1" maxValue="2"/>
    </cacheField>
    <cacheField name="MOIS" numFmtId="0">
      <sharedItems containsBlank="1" count="11">
        <m/>
        <s v="Janvier"/>
        <s v="Février"/>
        <s v="Juillet" u="1"/>
        <s v="Mai" u="1"/>
        <s v="Décembre" u="1"/>
        <s v="Août" u="1"/>
        <s v="Mars" u="1"/>
        <s v="Avril" u="1"/>
        <s v="Septembre" u="1"/>
        <s v="juin" u="1"/>
      </sharedItems>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8">
  <r>
    <m/>
    <m/>
    <x v="0"/>
    <m/>
    <m/>
    <x v="0"/>
  </r>
  <r>
    <m/>
    <m/>
    <x v="0"/>
    <m/>
    <n v="1"/>
    <x v="1"/>
  </r>
  <r>
    <m/>
    <m/>
    <x v="0"/>
    <m/>
    <m/>
    <x v="0"/>
  </r>
  <r>
    <d v="2022-02-28T00:00:00"/>
    <s v="Prêts"/>
    <x v="1"/>
    <n v="300"/>
    <n v="2"/>
    <x v="2"/>
  </r>
  <r>
    <d v="2022-02-17T00:00:00"/>
    <s v="Self_Care"/>
    <x v="2"/>
    <n v="100"/>
    <n v="2"/>
    <x v="2"/>
  </r>
  <r>
    <d v="2022-02-16T00:00:00"/>
    <s v="Self_Care"/>
    <x v="3"/>
    <n v="400"/>
    <n v="2"/>
    <x v="2"/>
  </r>
  <r>
    <d v="2022-02-15T00:00:00"/>
    <s v="Foyer"/>
    <x v="4"/>
    <n v="200"/>
    <n v="2"/>
    <x v="2"/>
  </r>
  <r>
    <d v="2022-02-15T00:00:00"/>
    <s v="Foyer"/>
    <x v="5"/>
    <n v="500"/>
    <n v="2"/>
    <x v="2"/>
  </r>
  <r>
    <d v="2022-02-28T00:00:00"/>
    <s v="Repas"/>
    <x v="6"/>
    <n v="700"/>
    <n v="2"/>
    <x v="2"/>
  </r>
  <r>
    <d v="2022-02-06T00:00:00"/>
    <s v="Repas"/>
    <x v="7"/>
    <n v="200"/>
    <n v="2"/>
    <x v="2"/>
  </r>
  <r>
    <d v="2022-02-06T00:00:00"/>
    <s v="Self_Care"/>
    <x v="8"/>
    <n v="200"/>
    <n v="2"/>
    <x v="2"/>
  </r>
  <r>
    <d v="2022-02-01T00:00:00"/>
    <s v="Cadeaux"/>
    <x v="9"/>
    <n v="1500"/>
    <n v="2"/>
    <x v="2"/>
  </r>
  <r>
    <d v="2022-02-01T00:00:00"/>
    <s v="Transport"/>
    <x v="10"/>
    <n v="700"/>
    <n v="2"/>
    <x v="2"/>
  </r>
  <r>
    <d v="2022-02-01T00:00:00"/>
    <s v="Foyer"/>
    <x v="11"/>
    <n v="1500"/>
    <n v="2"/>
    <x v="2"/>
  </r>
  <r>
    <d v="2022-01-31T00:00:00"/>
    <s v="Repas"/>
    <x v="7"/>
    <n v="250"/>
    <n v="1"/>
    <x v="1"/>
  </r>
  <r>
    <d v="2022-01-27T00:00:00"/>
    <s v="Voyage"/>
    <x v="12"/>
    <n v="300"/>
    <n v="1"/>
    <x v="1"/>
  </r>
  <r>
    <d v="2022-01-26T00:00:00"/>
    <s v="Charité"/>
    <x v="13"/>
    <n v="200"/>
    <n v="1"/>
    <x v="1"/>
  </r>
  <r>
    <d v="2022-01-25T00:00:00"/>
    <s v="Cadeaux"/>
    <x v="14"/>
    <n v="150"/>
    <n v="1"/>
    <x v="1"/>
  </r>
  <r>
    <d v="2022-01-25T00:00:00"/>
    <s v="Cadeaux"/>
    <x v="15"/>
    <n v="300"/>
    <n v="1"/>
    <x v="1"/>
  </r>
  <r>
    <d v="2022-01-25T00:00:00"/>
    <s v="Cadeaux"/>
    <x v="9"/>
    <n v="1000"/>
    <n v="1"/>
    <x v="1"/>
  </r>
  <r>
    <d v="2022-01-15T00:00:00"/>
    <s v="Self_Care"/>
    <x v="2"/>
    <n v="100"/>
    <n v="1"/>
    <x v="1"/>
  </r>
  <r>
    <d v="2022-01-15T00:00:00"/>
    <s v="Self_Care"/>
    <x v="3"/>
    <n v="400"/>
    <n v="1"/>
    <x v="1"/>
  </r>
  <r>
    <d v="2022-01-10T00:00:00"/>
    <s v="Transport"/>
    <x v="10"/>
    <n v="700"/>
    <n v="1"/>
    <x v="1"/>
  </r>
  <r>
    <d v="2022-01-06T00:00:00"/>
    <s v="Foyer"/>
    <x v="16"/>
    <n v="500"/>
    <n v="1"/>
    <x v="1"/>
  </r>
  <r>
    <d v="2022-01-05T00:00:00"/>
    <s v="Foyer"/>
    <x v="4"/>
    <n v="200"/>
    <n v="1"/>
    <x v="1"/>
  </r>
  <r>
    <d v="2022-01-01T00:00:00"/>
    <s v="Foyer"/>
    <x v="17"/>
    <n v="100"/>
    <n v="1"/>
    <x v="1"/>
  </r>
  <r>
    <d v="2022-01-01T00:00:00"/>
    <s v="Foyer"/>
    <x v="11"/>
    <n v="1500"/>
    <n v="1"/>
    <x v="1"/>
  </r>
  <r>
    <m/>
    <m/>
    <x v="0"/>
    <m/>
    <n v="1"/>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600-000000000000}" name="Tableau croisé dynamique11" cacheId="20" applyNumberFormats="0" applyBorderFormats="0" applyFontFormats="0" applyPatternFormats="0" applyAlignmentFormats="0" applyWidthHeightFormats="1" dataCaption="Valeurs" updatedVersion="6" minRefreshableVersion="3" useAutoFormatting="1" itemPrintTitles="1" createdVersion="5" indent="0" outline="1" outlineData="1" multipleFieldFilters="0" chartFormat="6">
  <location ref="F6:G25" firstHeaderRow="1" firstDataRow="1" firstDataCol="1" rowPageCount="1" colPageCount="1"/>
  <pivotFields count="6">
    <pivotField showAll="0" defaultSubtotal="0"/>
    <pivotField showAll="0"/>
    <pivotField axis="axisRow" showAll="0">
      <items count="47">
        <item m="1" x="39"/>
        <item x="10"/>
        <item m="1" x="28"/>
        <item m="1" x="27"/>
        <item x="3"/>
        <item x="15"/>
        <item m="1" x="40"/>
        <item m="1" x="20"/>
        <item m="1" x="25"/>
        <item x="0"/>
        <item x="2"/>
        <item x="16"/>
        <item x="11"/>
        <item m="1" x="26"/>
        <item x="9"/>
        <item m="1" x="23"/>
        <item m="1" x="37"/>
        <item x="5"/>
        <item x="12"/>
        <item m="1" x="44"/>
        <item x="7"/>
        <item m="1" x="24"/>
        <item m="1" x="43"/>
        <item m="1" x="41"/>
        <item m="1" x="36"/>
        <item m="1" x="19"/>
        <item x="4"/>
        <item m="1" x="29"/>
        <item x="17"/>
        <item m="1" x="45"/>
        <item m="1" x="42"/>
        <item x="8"/>
        <item x="1"/>
        <item m="1" x="31"/>
        <item m="1" x="33"/>
        <item m="1" x="30"/>
        <item m="1" x="21"/>
        <item m="1" x="22"/>
        <item x="13"/>
        <item m="1" x="34"/>
        <item m="1" x="32"/>
        <item x="6"/>
        <item m="1" x="35"/>
        <item m="1" x="18"/>
        <item m="1" x="38"/>
        <item x="14"/>
        <item t="default"/>
      </items>
    </pivotField>
    <pivotField dataField="1" showAll="0"/>
    <pivotField showAll="0"/>
    <pivotField axis="axisPage" multipleItemSelectionAllowed="1" showAll="0">
      <items count="12">
        <item x="1"/>
        <item m="1" x="4"/>
        <item x="0"/>
        <item x="2"/>
        <item m="1" x="8"/>
        <item m="1" x="9"/>
        <item m="1" x="7"/>
        <item m="1" x="5"/>
        <item m="1" x="10"/>
        <item m="1" x="3"/>
        <item m="1" x="6"/>
        <item t="default"/>
      </items>
    </pivotField>
  </pivotFields>
  <rowFields count="1">
    <field x="2"/>
  </rowFields>
  <rowItems count="19">
    <i>
      <x v="1"/>
    </i>
    <i>
      <x v="4"/>
    </i>
    <i>
      <x v="5"/>
    </i>
    <i>
      <x v="9"/>
    </i>
    <i>
      <x v="10"/>
    </i>
    <i>
      <x v="11"/>
    </i>
    <i>
      <x v="12"/>
    </i>
    <i>
      <x v="14"/>
    </i>
    <i>
      <x v="17"/>
    </i>
    <i>
      <x v="18"/>
    </i>
    <i>
      <x v="20"/>
    </i>
    <i>
      <x v="26"/>
    </i>
    <i>
      <x v="28"/>
    </i>
    <i>
      <x v="31"/>
    </i>
    <i>
      <x v="32"/>
    </i>
    <i>
      <x v="38"/>
    </i>
    <i>
      <x v="41"/>
    </i>
    <i>
      <x v="45"/>
    </i>
    <i t="grand">
      <x/>
    </i>
  </rowItems>
  <colItems count="1">
    <i/>
  </colItems>
  <pageFields count="1">
    <pageField fld="5" hier="-1"/>
  </pageFields>
  <dataFields count="1">
    <dataField name="Somme de MONTANT" fld="3" baseField="0" baseItem="0"/>
  </dataFields>
  <formats count="24">
    <format dxfId="31">
      <pivotArea type="all" dataOnly="0" outline="0" fieldPosition="0"/>
    </format>
    <format dxfId="30">
      <pivotArea outline="0" collapsedLevelsAreSubtotals="1" fieldPosition="0"/>
    </format>
    <format dxfId="29">
      <pivotArea field="2" type="button" dataOnly="0" labelOnly="1" outline="0" axis="axisRow" fieldPosition="0"/>
    </format>
    <format dxfId="28">
      <pivotArea dataOnly="0" labelOnly="1" outline="0" axis="axisValues" fieldPosition="0"/>
    </format>
    <format dxfId="27">
      <pivotArea dataOnly="0" labelOnly="1" fieldPosition="0">
        <references count="1">
          <reference field="2" count="0"/>
        </references>
      </pivotArea>
    </format>
    <format dxfId="26">
      <pivotArea dataOnly="0" labelOnly="1" grandRow="1" outline="0" fieldPosition="0"/>
    </format>
    <format dxfId="25">
      <pivotArea type="all" dataOnly="0" outline="0" fieldPosition="0"/>
    </format>
    <format dxfId="24">
      <pivotArea outline="0" collapsedLevelsAreSubtotals="1" fieldPosition="0"/>
    </format>
    <format dxfId="23">
      <pivotArea field="2" type="button" dataOnly="0" labelOnly="1" outline="0" axis="axisRow" fieldPosition="0"/>
    </format>
    <format dxfId="22">
      <pivotArea dataOnly="0" labelOnly="1" outline="0" axis="axisValues" fieldPosition="0"/>
    </format>
    <format dxfId="21">
      <pivotArea dataOnly="0" labelOnly="1" fieldPosition="0">
        <references count="1">
          <reference field="2" count="1">
            <x v="9"/>
          </reference>
        </references>
      </pivotArea>
    </format>
    <format dxfId="20">
      <pivotArea dataOnly="0" labelOnly="1" grandRow="1" outline="0" fieldPosition="0"/>
    </format>
    <format dxfId="19">
      <pivotArea type="all" dataOnly="0" outline="0" fieldPosition="0"/>
    </format>
    <format dxfId="18">
      <pivotArea outline="0" collapsedLevelsAreSubtotals="1" fieldPosition="0"/>
    </format>
    <format dxfId="17">
      <pivotArea field="2" type="button" dataOnly="0" labelOnly="1" outline="0" axis="axisRow" fieldPosition="0"/>
    </format>
    <format dxfId="16">
      <pivotArea dataOnly="0" labelOnly="1" outline="0" axis="axisValues" fieldPosition="0"/>
    </format>
    <format dxfId="15">
      <pivotArea dataOnly="0" labelOnly="1" fieldPosition="0">
        <references count="1">
          <reference field="2" count="1">
            <x v="9"/>
          </reference>
        </references>
      </pivotArea>
    </format>
    <format dxfId="14">
      <pivotArea dataOnly="0" labelOnly="1" grandRow="1" outline="0" fieldPosition="0"/>
    </format>
    <format dxfId="13">
      <pivotArea type="all" dataOnly="0" outline="0" fieldPosition="0"/>
    </format>
    <format dxfId="12">
      <pivotArea outline="0" collapsedLevelsAreSubtotals="1" fieldPosition="0"/>
    </format>
    <format dxfId="11">
      <pivotArea field="2" type="button" dataOnly="0" labelOnly="1" outline="0" axis="axisRow" fieldPosition="0"/>
    </format>
    <format dxfId="10">
      <pivotArea dataOnly="0" labelOnly="1" outline="0" axis="axisValues" fieldPosition="0"/>
    </format>
    <format dxfId="9">
      <pivotArea dataOnly="0" labelOnly="1" fieldPosition="0">
        <references count="1">
          <reference field="2" count="0"/>
        </references>
      </pivotArea>
    </format>
    <format dxfId="8">
      <pivotArea dataOnly="0" labelOnly="1" grandRow="1" outline="0" fieldPosition="0"/>
    </format>
  </formats>
  <chartFormats count="11">
    <chartFormat chart="0" format="0" series="1">
      <pivotArea type="data" outline="0" fieldPosition="0">
        <references count="1">
          <reference field="4294967294" count="1" selected="0">
            <x v="0"/>
          </reference>
        </references>
      </pivotArea>
    </chartFormat>
    <chartFormat chart="0" format="1">
      <pivotArea type="data" outline="0" fieldPosition="0">
        <references count="2">
          <reference field="4294967294" count="1" selected="0">
            <x v="0"/>
          </reference>
          <reference field="2" count="1" selected="0">
            <x v="1"/>
          </reference>
        </references>
      </pivotArea>
    </chartFormat>
    <chartFormat chart="0" format="2">
      <pivotArea type="data" outline="0" fieldPosition="0">
        <references count="2">
          <reference field="4294967294" count="1" selected="0">
            <x v="0"/>
          </reference>
          <reference field="2" count="1" selected="0">
            <x v="4"/>
          </reference>
        </references>
      </pivotArea>
    </chartFormat>
    <chartFormat chart="0" format="3">
      <pivotArea type="data" outline="0" fieldPosition="0">
        <references count="2">
          <reference field="4294967294" count="1" selected="0">
            <x v="0"/>
          </reference>
          <reference field="2" count="1" selected="0">
            <x v="6"/>
          </reference>
        </references>
      </pivotArea>
    </chartFormat>
    <chartFormat chart="0" format="4">
      <pivotArea type="data" outline="0" fieldPosition="0">
        <references count="2">
          <reference field="4294967294" count="1" selected="0">
            <x v="0"/>
          </reference>
          <reference field="2" count="1" selected="0">
            <x v="8"/>
          </reference>
        </references>
      </pivotArea>
    </chartFormat>
    <chartFormat chart="0" format="5">
      <pivotArea type="data" outline="0" fieldPosition="0">
        <references count="2">
          <reference field="4294967294" count="1" selected="0">
            <x v="0"/>
          </reference>
          <reference field="2" count="1" selected="0">
            <x v="10"/>
          </reference>
        </references>
      </pivotArea>
    </chartFormat>
    <chartFormat chart="0" format="6">
      <pivotArea type="data" outline="0" fieldPosition="0">
        <references count="2">
          <reference field="4294967294" count="1" selected="0">
            <x v="0"/>
          </reference>
          <reference field="2" count="1" selected="0">
            <x v="11"/>
          </reference>
        </references>
      </pivotArea>
    </chartFormat>
    <chartFormat chart="0" format="7">
      <pivotArea type="data" outline="0" fieldPosition="0">
        <references count="2">
          <reference field="4294967294" count="1" selected="0">
            <x v="0"/>
          </reference>
          <reference field="2" count="1" selected="0">
            <x v="12"/>
          </reference>
        </references>
      </pivotArea>
    </chartFormat>
    <chartFormat chart="0" format="8">
      <pivotArea type="data" outline="0" fieldPosition="0">
        <references count="2">
          <reference field="4294967294" count="1" selected="0">
            <x v="0"/>
          </reference>
          <reference field="2" count="1" selected="0">
            <x v="13"/>
          </reference>
        </references>
      </pivotArea>
    </chartFormat>
    <chartFormat chart="0" format="9">
      <pivotArea type="data" outline="0" fieldPosition="0">
        <references count="2">
          <reference field="4294967294" count="1" selected="0">
            <x v="0"/>
          </reference>
          <reference field="2" count="1" selected="0">
            <x v="14"/>
          </reference>
        </references>
      </pivotArea>
    </chartFormat>
    <chartFormat chart="0" format="10">
      <pivotArea type="data" outline="0" fieldPosition="0">
        <references count="2">
          <reference field="4294967294" count="1" selected="0">
            <x v="0"/>
          </reference>
          <reference field="2" count="1" selected="0">
            <x v="15"/>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MOIS" xr10:uid="{00000000-0013-0000-FFFF-FFFF02000000}" sourceName="MOIS">
  <pivotTables>
    <pivotTable tabId="18" name="Tableau croisé dynamique11"/>
  </pivotTables>
  <data>
    <tabular pivotCacheId="1">
      <items count="11">
        <i x="1" s="1"/>
        <i x="2" s="1"/>
        <i x="7" s="1" nd="1"/>
        <i x="8" s="1" nd="1"/>
        <i x="4" s="1" nd="1"/>
        <i x="10" s="1" nd="1"/>
        <i x="3" s="1" nd="1"/>
        <i x="6" s="1" nd="1"/>
        <i x="9" s="1" nd="1"/>
        <i x="5" s="1" nd="1"/>
        <i x="0"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OIS" xr10:uid="{00000000-0014-0000-FFFF-FFFF02000000}" cache="Segment_MOIS" caption="MOIS" style="SlicerStyleDark1"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3" displayName="Tableau3" ref="B15:P23" totalsRowCount="1" headerRowDxfId="138" dataDxfId="137">
  <autoFilter ref="B15:P22"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autoFilter>
  <tableColumns count="15">
    <tableColumn id="1" xr3:uid="{00000000-0010-0000-0000-000001000000}" name="Revenus" totalsRowLabel="TOTAL" totalsRowDxfId="136">
      <calculatedColumnFormula>LAUNCHPAD!B18</calculatedColumnFormula>
    </tableColumn>
    <tableColumn id="2" xr3:uid="{00000000-0010-0000-0000-000002000000}" name="Janvier" totalsRowFunction="sum" dataDxfId="135" totalsRowDxfId="134">
      <calculatedColumnFormula>LAUNCHPAD!C18</calculatedColumnFormula>
    </tableColumn>
    <tableColumn id="3" xr3:uid="{00000000-0010-0000-0000-000003000000}" name="Février" totalsRowFunction="sum" dataDxfId="133" totalsRowDxfId="132">
      <calculatedColumnFormula>LAUNCHPAD!D18</calculatedColumnFormula>
    </tableColumn>
    <tableColumn id="4" xr3:uid="{00000000-0010-0000-0000-000004000000}" name="Mars" totalsRowFunction="sum" dataDxfId="131" totalsRowDxfId="130">
      <calculatedColumnFormula>LAUNCHPAD!E18</calculatedColumnFormula>
    </tableColumn>
    <tableColumn id="5" xr3:uid="{00000000-0010-0000-0000-000005000000}" name="Avril" totalsRowFunction="sum" dataDxfId="129" totalsRowDxfId="128">
      <calculatedColumnFormula>LAUNCHPAD!F18</calculatedColumnFormula>
    </tableColumn>
    <tableColumn id="6" xr3:uid="{00000000-0010-0000-0000-000006000000}" name="Mai" totalsRowFunction="sum" dataDxfId="127" totalsRowDxfId="126">
      <calculatedColumnFormula>LAUNCHPAD!G18</calculatedColumnFormula>
    </tableColumn>
    <tableColumn id="7" xr3:uid="{00000000-0010-0000-0000-000007000000}" name="Juin" totalsRowFunction="sum" dataDxfId="125" totalsRowDxfId="124">
      <calculatedColumnFormula>LAUNCHPAD!H18</calculatedColumnFormula>
    </tableColumn>
    <tableColumn id="8" xr3:uid="{00000000-0010-0000-0000-000008000000}" name="Juillet" totalsRowFunction="sum" dataDxfId="123" totalsRowDxfId="122">
      <calculatedColumnFormula>LAUNCHPAD!I18</calculatedColumnFormula>
    </tableColumn>
    <tableColumn id="9" xr3:uid="{00000000-0010-0000-0000-000009000000}" name="Août" totalsRowFunction="sum" dataDxfId="121" totalsRowDxfId="120">
      <calculatedColumnFormula>LAUNCHPAD!J18</calculatedColumnFormula>
    </tableColumn>
    <tableColumn id="10" xr3:uid="{00000000-0010-0000-0000-00000A000000}" name="Septembre" totalsRowFunction="sum" dataDxfId="119" totalsRowDxfId="118">
      <calculatedColumnFormula>LAUNCHPAD!K18</calculatedColumnFormula>
    </tableColumn>
    <tableColumn id="11" xr3:uid="{00000000-0010-0000-0000-00000B000000}" name="Octobre" totalsRowFunction="sum" dataDxfId="117" totalsRowDxfId="116">
      <calculatedColumnFormula>LAUNCHPAD!L18</calculatedColumnFormula>
    </tableColumn>
    <tableColumn id="12" xr3:uid="{00000000-0010-0000-0000-00000C000000}" name="Novembre" totalsRowFunction="sum" dataDxfId="115" totalsRowDxfId="114">
      <calculatedColumnFormula>LAUNCHPAD!M18</calculatedColumnFormula>
    </tableColumn>
    <tableColumn id="13" xr3:uid="{00000000-0010-0000-0000-00000D000000}" name="Décembre" totalsRowFunction="sum" dataDxfId="113" totalsRowDxfId="112">
      <calculatedColumnFormula>LAUNCHPAD!N18</calculatedColumnFormula>
    </tableColumn>
    <tableColumn id="14" xr3:uid="{00000000-0010-0000-0000-00000E000000}" name="Tendance" dataDxfId="111" totalsRowDxfId="110"/>
    <tableColumn id="15" xr3:uid="{00000000-0010-0000-0000-00000F000000}" name="TOTAL" totalsRowFunction="sum" dataDxfId="109" totalsRowDxfId="108">
      <calculatedColumnFormula>+SUM(Tableau3[[#This Row],[Janvier]:[Décembre]])</calculatedColumnFormula>
    </tableColumn>
  </tableColumns>
  <tableStyleInfo name="TableStyleLight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ableau4" displayName="Tableau4" ref="B26:P45" totalsRowCount="1" headerRowDxfId="107" dataDxfId="106" totalsRowDxfId="105">
  <autoFilter ref="B26:P44" xr:uid="{00000000-0009-0000-0100-000004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autoFilter>
  <tableColumns count="15">
    <tableColumn id="1" xr3:uid="{00000000-0010-0000-0100-000001000000}" name="Dépenses" totalsRowLabel="TOTAL" dataDxfId="104" totalsRowDxfId="103">
      <calculatedColumnFormula>LAUNCHPAD!B4</calculatedColumnFormula>
    </tableColumn>
    <tableColumn id="2" xr3:uid="{00000000-0010-0000-0100-000002000000}" name="Janvier" totalsRowFunction="sum" dataDxfId="102" totalsRowDxfId="101">
      <calculatedColumnFormula>SUMIFS(OJ!D:D,OJ!B:B,Tableau4[[#This Row],[Dépenses]],OJ!E:E,1)</calculatedColumnFormula>
    </tableColumn>
    <tableColumn id="3" xr3:uid="{00000000-0010-0000-0100-000003000000}" name="Février" totalsRowFunction="sum" dataDxfId="100" totalsRowDxfId="99">
      <calculatedColumnFormula>SUMIFS(OJ!D:D,OJ!B:B,Tableau4[[#This Row],[Dépenses]],OJ!E:E,2)</calculatedColumnFormula>
    </tableColumn>
    <tableColumn id="4" xr3:uid="{00000000-0010-0000-0100-000004000000}" name="Mars" totalsRowFunction="sum" dataDxfId="98" totalsRowDxfId="97">
      <calculatedColumnFormula>SUMIFS(OJ!D:D,OJ!B:B,Tableau4[[#This Row],[Dépenses]],OJ!E:E,3)</calculatedColumnFormula>
    </tableColumn>
    <tableColumn id="5" xr3:uid="{00000000-0010-0000-0100-000005000000}" name="Avril" totalsRowFunction="sum" dataDxfId="96" totalsRowDxfId="95">
      <calculatedColumnFormula>SUMIFS(OJ!D:D,OJ!B:B,Tableau4[[#This Row],[Dépenses]],OJ!E:E,4)</calculatedColumnFormula>
    </tableColumn>
    <tableColumn id="6" xr3:uid="{00000000-0010-0000-0100-000006000000}" name="Mai" totalsRowFunction="sum" dataDxfId="94" totalsRowDxfId="93">
      <calculatedColumnFormula>SUMIFS(OJ!D:D,OJ!B:B,Tableau4[[#This Row],[Dépenses]],OJ!E:E,5)</calculatedColumnFormula>
    </tableColumn>
    <tableColumn id="7" xr3:uid="{00000000-0010-0000-0100-000007000000}" name="Juin" totalsRowFunction="sum" dataDxfId="92" totalsRowDxfId="91">
      <calculatedColumnFormula>SUMIFS(OJ!D:D,OJ!B:B,Tableau4[[#This Row],[Dépenses]],OJ!E:E,6)</calculatedColumnFormula>
    </tableColumn>
    <tableColumn id="8" xr3:uid="{00000000-0010-0000-0100-000008000000}" name="Juillet" totalsRowFunction="sum" dataDxfId="90" totalsRowDxfId="89">
      <calculatedColumnFormula>SUMIFS(OJ!D:D,OJ!B:B,Tableau4[[#This Row],[Dépenses]],OJ!E:E,7)</calculatedColumnFormula>
    </tableColumn>
    <tableColumn id="9" xr3:uid="{00000000-0010-0000-0100-000009000000}" name="Août" totalsRowFunction="sum" dataDxfId="88" totalsRowDxfId="87">
      <calculatedColumnFormula>SUMIFS(OJ!D:D,OJ!B:B,Tableau4[[#This Row],[Dépenses]],OJ!E:E,8)</calculatedColumnFormula>
    </tableColumn>
    <tableColumn id="10" xr3:uid="{00000000-0010-0000-0100-00000A000000}" name="Septembre" totalsRowFunction="sum" dataDxfId="86" totalsRowDxfId="85">
      <calculatedColumnFormula>SUMIFS(OJ!D:D,OJ!B:B,Tableau4[[#This Row],[Dépenses]],OJ!E:E,9)</calculatedColumnFormula>
    </tableColumn>
    <tableColumn id="11" xr3:uid="{00000000-0010-0000-0100-00000B000000}" name="Octobre" totalsRowFunction="sum" dataDxfId="84" totalsRowDxfId="83">
      <calculatedColumnFormula>SUMIFS(OJ!D:D,OJ!B:B,Tableau4[[#This Row],[Dépenses]],OJ!E:E,10)</calculatedColumnFormula>
    </tableColumn>
    <tableColumn id="12" xr3:uid="{00000000-0010-0000-0100-00000C000000}" name="Novembre" totalsRowFunction="sum" dataDxfId="82" totalsRowDxfId="81">
      <calculatedColumnFormula>SUMIFS(OJ!D:D,OJ!B:B,Tableau4[[#This Row],[Dépenses]],OJ!E:E,11)</calculatedColumnFormula>
    </tableColumn>
    <tableColumn id="13" xr3:uid="{00000000-0010-0000-0100-00000D000000}" name="Décembre" totalsRowFunction="sum" dataDxfId="80" totalsRowDxfId="79">
      <calculatedColumnFormula>SUMIFS(OJ!D:D,OJ!B:B,Tableau4[[#This Row],[Dépenses]],OJ!E:E,12)</calculatedColumnFormula>
    </tableColumn>
    <tableColumn id="14" xr3:uid="{00000000-0010-0000-0100-00000E000000}" name="Tendances" dataDxfId="78" totalsRowDxfId="77"/>
    <tableColumn id="15" xr3:uid="{00000000-0010-0000-0100-00000F000000}" name="TOTAL" totalsRowFunction="sum" dataDxfId="76" totalsRowDxfId="75">
      <calculatedColumnFormula>+SUM(Tableau4[[#This Row],[Janvier]:[Décembre]])</calculatedColumnFormula>
    </tableColumn>
  </tableColumns>
  <tableStyleInfo name="TableStyleLight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2000000}" name="Tableau5" displayName="Tableau5" ref="B11:P12" totalsRowShown="0" headerRowDxfId="74" dataDxfId="73">
  <autoFilter ref="B11:P12" xr:uid="{00000000-0009-0000-0100-000005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autoFilter>
  <tableColumns count="15">
    <tableColumn id="1" xr3:uid="{00000000-0010-0000-0200-000001000000}" name="Epargne" dataDxfId="72"/>
    <tableColumn id="2" xr3:uid="{00000000-0010-0000-0200-000002000000}" name="Janvier" dataDxfId="71">
      <calculatedColumnFormula>LAUNCHPAD!C28</calculatedColumnFormula>
    </tableColumn>
    <tableColumn id="3" xr3:uid="{00000000-0010-0000-0200-000003000000}" name="Février" dataDxfId="70">
      <calculatedColumnFormula>LAUNCHPAD!D28</calculatedColumnFormula>
    </tableColumn>
    <tableColumn id="4" xr3:uid="{00000000-0010-0000-0200-000004000000}" name="Mars" dataDxfId="69">
      <calculatedColumnFormula>LAUNCHPAD!E28</calculatedColumnFormula>
    </tableColumn>
    <tableColumn id="5" xr3:uid="{00000000-0010-0000-0200-000005000000}" name="Avril" dataDxfId="68">
      <calculatedColumnFormula>LAUNCHPAD!F28</calculatedColumnFormula>
    </tableColumn>
    <tableColumn id="6" xr3:uid="{00000000-0010-0000-0200-000006000000}" name="Mai" dataDxfId="67">
      <calculatedColumnFormula>LAUNCHPAD!G28</calculatedColumnFormula>
    </tableColumn>
    <tableColumn id="7" xr3:uid="{00000000-0010-0000-0200-000007000000}" name="Juin" dataDxfId="66">
      <calculatedColumnFormula>LAUNCHPAD!H28</calculatedColumnFormula>
    </tableColumn>
    <tableColumn id="8" xr3:uid="{00000000-0010-0000-0200-000008000000}" name="Juillet" dataDxfId="65">
      <calculatedColumnFormula>LAUNCHPAD!I28</calculatedColumnFormula>
    </tableColumn>
    <tableColumn id="9" xr3:uid="{00000000-0010-0000-0200-000009000000}" name="Août" dataDxfId="64">
      <calculatedColumnFormula>LAUNCHPAD!J28</calculatedColumnFormula>
    </tableColumn>
    <tableColumn id="10" xr3:uid="{00000000-0010-0000-0200-00000A000000}" name="Septembre" dataDxfId="63">
      <calculatedColumnFormula>LAUNCHPAD!K28</calculatedColumnFormula>
    </tableColumn>
    <tableColumn id="11" xr3:uid="{00000000-0010-0000-0200-00000B000000}" name="Octobre" dataDxfId="62">
      <calculatedColumnFormula>LAUNCHPAD!L28</calculatedColumnFormula>
    </tableColumn>
    <tableColumn id="12" xr3:uid="{00000000-0010-0000-0200-00000C000000}" name="Novembre" dataDxfId="61">
      <calculatedColumnFormula>LAUNCHPAD!M28</calculatedColumnFormula>
    </tableColumn>
    <tableColumn id="13" xr3:uid="{00000000-0010-0000-0200-00000D000000}" name="Décembre" dataDxfId="60">
      <calculatedColumnFormula>LAUNCHPAD!N28</calculatedColumnFormula>
    </tableColumn>
    <tableColumn id="14" xr3:uid="{00000000-0010-0000-0200-00000E000000}" name="Tendance" dataDxfId="59"/>
    <tableColumn id="15" xr3:uid="{00000000-0010-0000-0200-00000F000000}" name="TOTAL" dataDxfId="58">
      <calculatedColumnFormula>+SUM(Tableau5[[Janvier]:[Décembre]])</calculatedColumnFormula>
    </tableColumn>
  </tableColumns>
  <tableStyleInfo name="TableStyleLight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3000000}" name="Tableau2" displayName="Tableau2" ref="B7:P8" totalsRowShown="0" headerRowDxfId="57" dataDxfId="56">
  <tableColumns count="15">
    <tableColumn id="1" xr3:uid="{00000000-0010-0000-0300-000001000000}" name="Argent Liquide de Trésrorie" dataDxfId="55"/>
    <tableColumn id="3" xr3:uid="{00000000-0010-0000-0300-000003000000}" name="Janvier" dataDxfId="54">
      <calculatedColumnFormula>Tableau3[[#Totals],[Janvier]]-Tableau5[Janvier]-Tableau4[[#Totals],[Janvier]]</calculatedColumnFormula>
    </tableColumn>
    <tableColumn id="4" xr3:uid="{00000000-0010-0000-0300-000004000000}" name="Février" dataDxfId="53">
      <calculatedColumnFormula>Tableau3[[#Totals],[Février]]-Tableau5[Février]-Tableau4[[#Totals],[Février]]</calculatedColumnFormula>
    </tableColumn>
    <tableColumn id="5" xr3:uid="{00000000-0010-0000-0300-000005000000}" name="Mars" dataDxfId="52">
      <calculatedColumnFormula>Tableau3[[#Totals],[Mars]]-Tableau5[Mars]-Tableau4[[#Totals],[Mars]]</calculatedColumnFormula>
    </tableColumn>
    <tableColumn id="6" xr3:uid="{00000000-0010-0000-0300-000006000000}" name="Avril" dataDxfId="51">
      <calculatedColumnFormula>Tableau3[[#Totals],[Avril]]-Tableau5[Avril]-Tableau4[[#Totals],[Avril]]</calculatedColumnFormula>
    </tableColumn>
    <tableColumn id="7" xr3:uid="{00000000-0010-0000-0300-000007000000}" name="Mai" dataDxfId="50">
      <calculatedColumnFormula>Tableau3[[#Totals],[Mai]]-Tableau5[Mai]-Tableau4[[#Totals],[Mai]]</calculatedColumnFormula>
    </tableColumn>
    <tableColumn id="8" xr3:uid="{00000000-0010-0000-0300-000008000000}" name="Juin" dataDxfId="49">
      <calculatedColumnFormula>Tableau3[[#Totals],[Juin]]-Tableau5[Juin]-Tableau4[[#Totals],[Juin]]</calculatedColumnFormula>
    </tableColumn>
    <tableColumn id="9" xr3:uid="{00000000-0010-0000-0300-000009000000}" name="Juillet" dataDxfId="48">
      <calculatedColumnFormula>Tableau3[[#Totals],[Juillet]]-Tableau5[Juillet]-Tableau4[[#Totals],[Juillet]]</calculatedColumnFormula>
    </tableColumn>
    <tableColumn id="10" xr3:uid="{00000000-0010-0000-0300-00000A000000}" name="Août" dataDxfId="47">
      <calculatedColumnFormula>Tableau3[[#Totals],[Août]]-Tableau5[Août]-Tableau4[[#Totals],[Août]]</calculatedColumnFormula>
    </tableColumn>
    <tableColumn id="11" xr3:uid="{00000000-0010-0000-0300-00000B000000}" name="Septembre" dataDxfId="46">
      <calculatedColumnFormula>Tableau3[[#Totals],[Septembre]]-Tableau5[Septembre]-Tableau4[[#Totals],[Septembre]]</calculatedColumnFormula>
    </tableColumn>
    <tableColumn id="12" xr3:uid="{00000000-0010-0000-0300-00000C000000}" name="Octobre" dataDxfId="45">
      <calculatedColumnFormula>Tableau3[[#Totals],[Octobre]]-Tableau5[Octobre]-Tableau4[[#Totals],[Octobre]]</calculatedColumnFormula>
    </tableColumn>
    <tableColumn id="13" xr3:uid="{00000000-0010-0000-0300-00000D000000}" name="Novembre" dataDxfId="44">
      <calculatedColumnFormula>Tableau3[[#Totals],[Novembre]]-Tableau5[Novembre]-Tableau4[[#Totals],[Novembre]]</calculatedColumnFormula>
    </tableColumn>
    <tableColumn id="14" xr3:uid="{00000000-0010-0000-0300-00000E000000}" name="Décembre" dataDxfId="43">
      <calculatedColumnFormula>Tableau3[[#Totals],[Décembre]]-Tableau5[Décembre]-Tableau4[[#Totals],[Décembre]]</calculatedColumnFormula>
    </tableColumn>
    <tableColumn id="15" xr3:uid="{00000000-0010-0000-0300-00000F000000}" name="Tendance" dataDxfId="42"/>
    <tableColumn id="2" xr3:uid="{00000000-0010-0000-0300-000002000000}" name="TOTAL" dataDxfId="41">
      <calculatedColumnFormula>SUM(Tableau2[[Janvier]:[Décembre]])</calculatedColumnFormula>
    </tableColumn>
  </tableColumns>
  <tableStyleInfo name="TableStyleLight6"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4000000}" name="Tableau6" displayName="Tableau6" ref="B6:C14" totalsRowCount="1" headerRowDxfId="40" dataDxfId="39" totalsRowDxfId="38">
  <autoFilter ref="B6:C13" xr:uid="{00000000-0009-0000-0100-000006000000}">
    <filterColumn colId="0" hiddenButton="1"/>
    <filterColumn colId="1" hiddenButton="1"/>
  </autoFilter>
  <tableColumns count="2">
    <tableColumn id="1" xr3:uid="{00000000-0010-0000-0400-000001000000}" name="Revenus" totalsRowLabel="TOTAL" totalsRowDxfId="37">
      <calculatedColumnFormula>LAUNCHPAD!B18</calculatedColumnFormula>
    </tableColumn>
    <tableColumn id="2" xr3:uid="{00000000-0010-0000-0400-000002000000}" name="Colonne2" totalsRowFunction="sum" dataDxfId="36" totalsRowDxfId="35">
      <calculatedColumnFormula>HLOOKUP(D4,LAUNCHPAD!B16:N25,3)</calculatedColumnFormula>
    </tableColumn>
  </tableColumns>
  <tableStyleInfo name="TableStyleLight6"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5000000}" name="Tableau7" displayName="Tableau7" ref="B16:C34" totalsRowShown="0" dataDxfId="34">
  <autoFilter ref="B16:C34" xr:uid="{00000000-0009-0000-0100-000007000000}">
    <filterColumn colId="0" hiddenButton="1"/>
    <filterColumn colId="1" hiddenButton="1"/>
  </autoFilter>
  <tableColumns count="2">
    <tableColumn id="1" xr3:uid="{00000000-0010-0000-0500-000001000000}" name="Dépenses" dataDxfId="33"/>
    <tableColumn id="2" xr3:uid="{00000000-0010-0000-0500-000002000000}" name="Colonne1" dataDxfId="32">
      <calculatedColumnFormula>SUMIFS(OJ!D:D,OJ!E:E,$D$4,OJ!B:B,Tableau7[[#This Row],[Dépenses]])</calculatedColumnFormula>
    </tableColumn>
  </tableColumns>
  <tableStyleInfo name="TableStyleLight6"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6000000}" name="Tableau1" displayName="Tableau1" ref="A1:F29" totalsRowShown="0" headerRowDxfId="7" dataDxfId="6">
  <autoFilter ref="A1:F29" xr:uid="{00000000-0009-0000-0100-000001000000}"/>
  <tableColumns count="6">
    <tableColumn id="1" xr3:uid="{00000000-0010-0000-0600-000001000000}" name="DATE" dataDxfId="5"/>
    <tableColumn id="2" xr3:uid="{00000000-0010-0000-0600-000002000000}" name="OPERATIONS" dataDxfId="4"/>
    <tableColumn id="3" xr3:uid="{00000000-0010-0000-0600-000003000000}" name="DESCRIPTION" dataDxfId="3"/>
    <tableColumn id="4" xr3:uid="{00000000-0010-0000-0600-000004000000}" name="MONTANT" dataDxfId="2"/>
    <tableColumn id="5" xr3:uid="{00000000-0010-0000-0600-000005000000}" name="V" dataDxfId="1">
      <calculatedColumnFormula>MONTH(Tableau1[[#This Row],[DATE]])</calculatedColumnFormula>
    </tableColumn>
    <tableColumn id="6" xr3:uid="{00000000-0010-0000-0600-000006000000}" name="MOIS" dataDxfId="0">
      <calculatedColumnFormula>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Meryem.BENLAHBIB@Gmail.com"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4.xml"/><Relationship Id="rId5" Type="http://schemas.openxmlformats.org/officeDocument/2006/relationships/table" Target="../tables/table3.xml"/><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table" Target="../tables/table6.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5.xml"/><Relationship Id="rId1" Type="http://schemas.openxmlformats.org/officeDocument/2006/relationships/pivotTable" Target="../pivotTables/pivotTable1.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2.vml"/><Relationship Id="rId1" Type="http://schemas.openxmlformats.org/officeDocument/2006/relationships/drawing" Target="../drawings/drawing6.xml"/><Relationship Id="rId4" Type="http://schemas.openxmlformats.org/officeDocument/2006/relationships/table" Target="../tables/table7.xml"/></Relationships>
</file>

<file path=xl/worksheets/_rels/sheet8.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3.vml"/><Relationship Id="rId1" Type="http://schemas.openxmlformats.org/officeDocument/2006/relationships/drawing" Target="../drawings/drawing7.xml"/><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dimension ref="B2:S22"/>
  <sheetViews>
    <sheetView tabSelected="1" zoomScale="84" zoomScaleNormal="84" workbookViewId="0"/>
  </sheetViews>
  <sheetFormatPr baseColWidth="10" defaultColWidth="11.42578125" defaultRowHeight="15" x14ac:dyDescent="0.25"/>
  <cols>
    <col min="1" max="1" width="11.42578125" style="1"/>
    <col min="2" max="2" width="2.42578125" style="6" customWidth="1"/>
    <col min="3" max="3" width="15" style="1" customWidth="1"/>
    <col min="4" max="4" width="27.85546875" style="1" customWidth="1"/>
    <col min="5" max="5" width="3.140625" style="1" customWidth="1"/>
    <col min="6" max="6" width="30.140625" style="1" customWidth="1"/>
    <col min="7" max="7" width="13.7109375" style="1" bestFit="1" customWidth="1"/>
    <col min="8" max="9" width="11.42578125" style="1"/>
    <col min="10" max="10" width="3" style="8" customWidth="1"/>
    <col min="11" max="12" width="11.42578125" style="1"/>
    <col min="13" max="13" width="29.7109375" style="1" customWidth="1"/>
    <col min="14" max="14" width="11.42578125" style="1"/>
    <col min="15" max="15" width="2.140625" style="9" customWidth="1"/>
    <col min="16" max="16" width="15.7109375" style="1" bestFit="1" customWidth="1"/>
    <col min="17" max="17" width="1.7109375" style="7" customWidth="1"/>
    <col min="18" max="18" width="11.42578125" style="1"/>
    <col min="19" max="19" width="2.28515625" style="10" customWidth="1"/>
    <col min="20" max="16384" width="11.42578125" style="1"/>
  </cols>
  <sheetData>
    <row r="2" spans="3:16" ht="18.95" customHeight="1" x14ac:dyDescent="0.45">
      <c r="C2" s="100" t="str">
        <f ca="1">CONCATENATE("Flux de Tréserorie pour le mois de ", H3)</f>
        <v>Flux de Tréserorie pour le mois de Mars</v>
      </c>
      <c r="D2" s="100"/>
      <c r="E2" s="100"/>
      <c r="F2" s="39">
        <f ca="1">HLOOKUP(H2,'TB ANNUEL'!B6:O8,3)</f>
        <v>0</v>
      </c>
      <c r="H2" s="26">
        <f ca="1">MONTH(M2)</f>
        <v>3</v>
      </c>
      <c r="K2" s="101" t="s">
        <v>78</v>
      </c>
      <c r="L2" s="101"/>
      <c r="M2" s="40">
        <f ca="1">TODAY()</f>
        <v>44645</v>
      </c>
      <c r="P2" s="66">
        <f ca="1">NOW()</f>
        <v>44645.94460023148</v>
      </c>
    </row>
    <row r="3" spans="3:16" x14ac:dyDescent="0.25">
      <c r="G3" s="26"/>
      <c r="H3" s="26" t="str">
        <f ca="1">HLOOKUP(H2,LAUNCHPAD!C16:N17,2)</f>
        <v>Mars</v>
      </c>
    </row>
    <row r="4" spans="3:16" ht="38.25" x14ac:dyDescent="0.7">
      <c r="C4" s="11" t="s">
        <v>40</v>
      </c>
      <c r="D4" s="12"/>
      <c r="E4" s="12"/>
      <c r="F4" s="12"/>
      <c r="G4" s="77">
        <f ca="1">TODAY()+1</f>
        <v>44646</v>
      </c>
      <c r="H4" s="26"/>
    </row>
    <row r="5" spans="3:16" x14ac:dyDescent="0.25">
      <c r="G5" s="26"/>
      <c r="H5" s="26"/>
    </row>
    <row r="6" spans="3:16" ht="15.75" thickBot="1" x14ac:dyDescent="0.3"/>
    <row r="7" spans="3:16" ht="24.95" customHeight="1" thickBot="1" x14ac:dyDescent="0.35">
      <c r="D7" s="13" t="s">
        <v>36</v>
      </c>
      <c r="F7" s="55"/>
      <c r="G7" s="98"/>
      <c r="K7" s="38"/>
      <c r="L7" s="38"/>
      <c r="M7" s="38"/>
      <c r="N7" s="38"/>
    </row>
    <row r="8" spans="3:16" ht="15.75" thickBot="1" x14ac:dyDescent="0.3"/>
    <row r="9" spans="3:16" ht="24" customHeight="1" thickBot="1" x14ac:dyDescent="0.3">
      <c r="D9" s="13" t="s">
        <v>37</v>
      </c>
      <c r="F9" s="56"/>
    </row>
    <row r="10" spans="3:16" ht="15.75" thickBot="1" x14ac:dyDescent="0.3"/>
    <row r="11" spans="3:16" ht="24.6" customHeight="1" thickBot="1" x14ac:dyDescent="0.3">
      <c r="D11" s="13" t="s">
        <v>38</v>
      </c>
      <c r="F11" s="56"/>
    </row>
    <row r="12" spans="3:16" ht="15.75" thickBot="1" x14ac:dyDescent="0.3"/>
    <row r="13" spans="3:16" ht="24.6" customHeight="1" thickBot="1" x14ac:dyDescent="0.3">
      <c r="D13" s="13" t="s">
        <v>39</v>
      </c>
      <c r="F13" s="57"/>
    </row>
    <row r="22" spans="11:14" ht="15.75" x14ac:dyDescent="0.25">
      <c r="K22" s="102" t="s">
        <v>83</v>
      </c>
      <c r="L22" s="102"/>
      <c r="M22" s="102"/>
      <c r="N22" s="102"/>
    </row>
  </sheetData>
  <sheetProtection algorithmName="SHA-512" hashValue="oylsMCluKDjn0YK1+RaWpKrbZXU7f13T9F/fyGEk6bsgssnbLUeV1fhdYZw9Z1yMmgKU9Vd7L1jW71Or33BO/w==" saltValue="Av+g/GPcsaQunqaSLR8ulw==" spinCount="100000" sheet="1" objects="1" scenarios="1"/>
  <mergeCells count="3">
    <mergeCell ref="C2:E2"/>
    <mergeCell ref="K2:L2"/>
    <mergeCell ref="K22:N22"/>
  </mergeCells>
  <dataValidations xWindow="603" yWindow="443" count="3">
    <dataValidation type="list" allowBlank="1" showInputMessage="1" showErrorMessage="1" sqref="F11" xr:uid="{00000000-0002-0000-0000-000000000000}">
      <formula1>INDIRECT($F$9)</formula1>
    </dataValidation>
    <dataValidation type="date" allowBlank="1" showInputMessage="1" showErrorMessage="1" errorTitle="Date Invalide" error="Veuillez saisir une date égale ou inférieure à la date d'aujourd'hui" promptTitle="Format de la Date" prompt="Le format de la date est toujours le suivant JJ/MM/AAAA" sqref="F7" xr:uid="{00000000-0002-0000-0000-000001000000}">
      <formula1>44197</formula1>
      <formula2>G4</formula2>
    </dataValidation>
    <dataValidation type="custom" allowBlank="1" showInputMessage="1" showErrorMessage="1" errorTitle="Montant Invalid" error="Le montant de l'opération est supérieur au flux de tréserorie" sqref="F13" xr:uid="{00000000-0002-0000-0000-000002000000}">
      <formula1>F13&lt;F2+0.00001</formula1>
    </dataValidation>
  </dataValidations>
  <hyperlinks>
    <hyperlink ref="K22" r:id="rId1" xr:uid="{00000000-0004-0000-0000-000000000000}"/>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3077" r:id="rId5" name="Button 5">
              <controlPr defaultSize="0" print="0" autoFill="0" autoPict="0" macro="[0]!_xludf.N">
                <anchor moveWithCells="1" sizeWithCells="1">
                  <from>
                    <xdr:col>3</xdr:col>
                    <xdr:colOff>1019175</xdr:colOff>
                    <xdr:row>14</xdr:row>
                    <xdr:rowOff>104775</xdr:rowOff>
                  </from>
                  <to>
                    <xdr:col>5</xdr:col>
                    <xdr:colOff>866775</xdr:colOff>
                    <xdr:row>17</xdr:row>
                    <xdr:rowOff>0</xdr:rowOff>
                  </to>
                </anchor>
              </controlPr>
            </control>
          </mc:Choice>
        </mc:AlternateContent>
        <mc:AlternateContent xmlns:mc="http://schemas.openxmlformats.org/markup-compatibility/2006">
          <mc:Choice Requires="x14">
            <control shapeId="3082" r:id="rId6" name="Button 10">
              <controlPr defaultSize="0" print="0" autoFill="0" autoPict="0" macro="[0]!aujourdhui">
                <anchor moveWithCells="1" sizeWithCells="1">
                  <from>
                    <xdr:col>6</xdr:col>
                    <xdr:colOff>295275</xdr:colOff>
                    <xdr:row>5</xdr:row>
                    <xdr:rowOff>76200</xdr:rowOff>
                  </from>
                  <to>
                    <xdr:col>8</xdr:col>
                    <xdr:colOff>466725</xdr:colOff>
                    <xdr:row>8</xdr:row>
                    <xdr:rowOff>257175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xWindow="603" yWindow="443" count="1">
        <x14:dataValidation type="list" allowBlank="1" showInputMessage="1" showErrorMessage="1" xr:uid="{00000000-0002-0000-0000-000003000000}">
          <x14:formula1>
            <xm:f>LAUNCHPAD!$B$4:$S$4</xm:f>
          </x14:formula1>
          <xm:sqref>F9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P45"/>
  <sheetViews>
    <sheetView zoomScale="84" zoomScaleNormal="84" workbookViewId="0"/>
  </sheetViews>
  <sheetFormatPr baseColWidth="10" defaultColWidth="11.42578125" defaultRowHeight="15" x14ac:dyDescent="0.25"/>
  <cols>
    <col min="1" max="1" width="2.5703125" style="1" customWidth="1"/>
    <col min="2" max="2" width="32.7109375" style="1" customWidth="1"/>
    <col min="3" max="3" width="13" style="1" customWidth="1"/>
    <col min="4" max="4" width="12.140625" style="1" customWidth="1"/>
    <col min="5" max="5" width="14.5703125" style="1" customWidth="1"/>
    <col min="6" max="6" width="16.85546875" style="1" customWidth="1"/>
    <col min="7" max="7" width="11.85546875" style="1" customWidth="1"/>
    <col min="8" max="8" width="13" style="1" customWidth="1"/>
    <col min="9" max="9" width="12.140625" style="1" customWidth="1"/>
    <col min="10" max="10" width="13.140625" style="1" customWidth="1"/>
    <col min="11" max="11" width="18.42578125" style="1" customWidth="1"/>
    <col min="12" max="12" width="13.28515625" style="1" customWidth="1"/>
    <col min="13" max="13" width="14.28515625" style="1" customWidth="1"/>
    <col min="14" max="14" width="14.85546875" style="1" customWidth="1"/>
    <col min="15" max="15" width="13.42578125" style="1" customWidth="1"/>
    <col min="16" max="16" width="22.7109375" style="1" customWidth="1"/>
    <col min="17" max="16384" width="11.42578125" style="1"/>
  </cols>
  <sheetData>
    <row r="1" spans="1:16" ht="9" customHeight="1" x14ac:dyDescent="0.25"/>
    <row r="2" spans="1:16" s="15" customFormat="1" ht="37.5" customHeight="1" x14ac:dyDescent="0.5">
      <c r="A2" s="14"/>
      <c r="B2" s="19" t="s">
        <v>45</v>
      </c>
    </row>
    <row r="3" spans="1:16" ht="10.5" customHeight="1" x14ac:dyDescent="0.25">
      <c r="G3" s="73"/>
      <c r="H3" s="73"/>
      <c r="I3" s="73"/>
      <c r="J3" s="73"/>
      <c r="K3" s="73"/>
    </row>
    <row r="4" spans="1:16" ht="20.25" x14ac:dyDescent="0.3">
      <c r="B4" s="17" t="s">
        <v>44</v>
      </c>
      <c r="C4" s="18">
        <f ca="1">YEAR(TODAY())</f>
        <v>2022</v>
      </c>
      <c r="E4" s="72"/>
      <c r="F4" s="72"/>
      <c r="G4" s="76" t="s">
        <v>127</v>
      </c>
      <c r="H4" s="74"/>
      <c r="I4" s="74"/>
      <c r="J4" s="74"/>
      <c r="K4" s="75">
        <f ca="1">Tableau4[[#Totals],[TOTAL]]/OJ!I1</f>
        <v>144.57831325301206</v>
      </c>
    </row>
    <row r="5" spans="1:16" ht="11.25" customHeight="1" x14ac:dyDescent="0.25">
      <c r="C5" s="26">
        <v>1</v>
      </c>
      <c r="D5" s="26">
        <v>2</v>
      </c>
      <c r="E5" s="26">
        <v>3</v>
      </c>
      <c r="F5" s="26">
        <v>4</v>
      </c>
      <c r="G5" s="26">
        <v>5</v>
      </c>
      <c r="H5" s="26">
        <v>6</v>
      </c>
      <c r="I5" s="26">
        <v>7</v>
      </c>
      <c r="J5" s="26">
        <v>8</v>
      </c>
      <c r="K5" s="26">
        <v>9</v>
      </c>
      <c r="L5" s="26">
        <v>10</v>
      </c>
      <c r="M5" s="26">
        <v>11</v>
      </c>
      <c r="N5" s="26">
        <v>12</v>
      </c>
    </row>
    <row r="6" spans="1:16" ht="11.25" customHeight="1" x14ac:dyDescent="0.25">
      <c r="C6" s="26">
        <v>1</v>
      </c>
      <c r="D6" s="26">
        <v>2</v>
      </c>
      <c r="E6" s="26">
        <v>3</v>
      </c>
      <c r="F6" s="26">
        <v>4</v>
      </c>
      <c r="G6" s="26">
        <v>5</v>
      </c>
      <c r="H6" s="26">
        <v>6</v>
      </c>
      <c r="I6" s="26">
        <v>7</v>
      </c>
      <c r="J6" s="26">
        <v>8</v>
      </c>
      <c r="K6" s="26">
        <v>9</v>
      </c>
      <c r="L6" s="26">
        <v>10</v>
      </c>
      <c r="M6" s="26">
        <v>11</v>
      </c>
      <c r="N6" s="26">
        <v>12</v>
      </c>
    </row>
    <row r="7" spans="1:16" ht="23.25" customHeight="1" x14ac:dyDescent="0.3">
      <c r="B7" s="20" t="s">
        <v>46</v>
      </c>
      <c r="C7" s="25" t="s">
        <v>20</v>
      </c>
      <c r="D7" s="25" t="s">
        <v>21</v>
      </c>
      <c r="E7" s="25" t="s">
        <v>22</v>
      </c>
      <c r="F7" s="25" t="s">
        <v>23</v>
      </c>
      <c r="G7" s="25" t="s">
        <v>24</v>
      </c>
      <c r="H7" s="25" t="s">
        <v>25</v>
      </c>
      <c r="I7" s="25" t="s">
        <v>26</v>
      </c>
      <c r="J7" s="25" t="s">
        <v>27</v>
      </c>
      <c r="K7" s="25" t="s">
        <v>28</v>
      </c>
      <c r="L7" s="25" t="s">
        <v>29</v>
      </c>
      <c r="M7" s="25" t="s">
        <v>30</v>
      </c>
      <c r="N7" s="25" t="s">
        <v>31</v>
      </c>
      <c r="O7" s="25" t="s">
        <v>48</v>
      </c>
      <c r="P7" s="68" t="s">
        <v>52</v>
      </c>
    </row>
    <row r="8" spans="1:16" ht="25.5" customHeight="1" x14ac:dyDescent="0.25">
      <c r="B8" s="21" t="s">
        <v>47</v>
      </c>
      <c r="C8" s="44">
        <f>Tableau3[[#Totals],[Janvier]]-Tableau5[Janvier]-Tableau4[[#Totals],[Janvier]]</f>
        <v>300</v>
      </c>
      <c r="D8" s="44">
        <f>Tableau3[[#Totals],[Février]]-Tableau5[Février]-Tableau4[[#Totals],[Février]]</f>
        <v>0</v>
      </c>
      <c r="E8" s="44">
        <f>Tableau3[[#Totals],[Mars]]-Tableau5[Mars]-Tableau4[[#Totals],[Mars]]</f>
        <v>0</v>
      </c>
      <c r="F8" s="44">
        <f>Tableau3[[#Totals],[Avril]]-Tableau5[Avril]-Tableau4[[#Totals],[Avril]]</f>
        <v>0</v>
      </c>
      <c r="G8" s="44">
        <f>Tableau3[[#Totals],[Mai]]-Tableau5[Mai]-Tableau4[[#Totals],[Mai]]</f>
        <v>0</v>
      </c>
      <c r="H8" s="44">
        <f>Tableau3[[#Totals],[Juin]]-Tableau5[Juin]-Tableau4[[#Totals],[Juin]]</f>
        <v>0</v>
      </c>
      <c r="I8" s="44">
        <f>Tableau3[[#Totals],[Juillet]]-Tableau5[Juillet]-Tableau4[[#Totals],[Juillet]]</f>
        <v>0</v>
      </c>
      <c r="J8" s="44">
        <f>Tableau3[[#Totals],[Août]]-Tableau5[Août]-Tableau4[[#Totals],[Août]]</f>
        <v>0</v>
      </c>
      <c r="K8" s="44">
        <f>Tableau3[[#Totals],[Septembre]]-Tableau5[Septembre]-Tableau4[[#Totals],[Septembre]]</f>
        <v>0</v>
      </c>
      <c r="L8" s="44">
        <f>Tableau3[[#Totals],[Octobre]]-Tableau5[Octobre]-Tableau4[[#Totals],[Octobre]]</f>
        <v>0</v>
      </c>
      <c r="M8" s="44">
        <f>Tableau3[[#Totals],[Novembre]]-Tableau5[Novembre]-Tableau4[[#Totals],[Novembre]]</f>
        <v>0</v>
      </c>
      <c r="N8" s="44">
        <f>Tableau3[[#Totals],[Décembre]]-Tableau5[Décembre]-Tableau4[[#Totals],[Décembre]]</f>
        <v>0</v>
      </c>
      <c r="P8" s="67">
        <f>SUM(Tableau2[[Janvier]:[Décembre]])</f>
        <v>300</v>
      </c>
    </row>
    <row r="11" spans="1:16" ht="27" customHeight="1" x14ac:dyDescent="0.25">
      <c r="B11" s="1" t="s">
        <v>73</v>
      </c>
      <c r="C11" s="1" t="s">
        <v>20</v>
      </c>
      <c r="D11" s="1" t="s">
        <v>21</v>
      </c>
      <c r="E11" s="1" t="s">
        <v>22</v>
      </c>
      <c r="F11" s="1" t="s">
        <v>23</v>
      </c>
      <c r="G11" s="1" t="s">
        <v>24</v>
      </c>
      <c r="H11" s="1" t="s">
        <v>25</v>
      </c>
      <c r="I11" s="1" t="s">
        <v>26</v>
      </c>
      <c r="J11" s="1" t="s">
        <v>27</v>
      </c>
      <c r="K11" s="1" t="s">
        <v>28</v>
      </c>
      <c r="L11" s="1" t="s">
        <v>29</v>
      </c>
      <c r="M11" s="1" t="s">
        <v>30</v>
      </c>
      <c r="N11" s="1" t="s">
        <v>31</v>
      </c>
      <c r="O11" s="1" t="s">
        <v>48</v>
      </c>
      <c r="P11" s="68" t="s">
        <v>52</v>
      </c>
    </row>
    <row r="12" spans="1:16" ht="28.5" customHeight="1" x14ac:dyDescent="0.25">
      <c r="C12" s="23">
        <f>LAUNCHPAD!C28</f>
        <v>2000</v>
      </c>
      <c r="D12" s="23">
        <f>LAUNCHPAD!D28</f>
        <v>2000</v>
      </c>
      <c r="E12" s="23">
        <f>LAUNCHPAD!E28</f>
        <v>0</v>
      </c>
      <c r="F12" s="23">
        <f>LAUNCHPAD!F28</f>
        <v>0</v>
      </c>
      <c r="G12" s="23">
        <f>LAUNCHPAD!G28</f>
        <v>0</v>
      </c>
      <c r="H12" s="23">
        <f>LAUNCHPAD!H28</f>
        <v>0</v>
      </c>
      <c r="I12" s="23">
        <f>LAUNCHPAD!I28</f>
        <v>0</v>
      </c>
      <c r="J12" s="23">
        <f>LAUNCHPAD!J28</f>
        <v>0</v>
      </c>
      <c r="K12" s="23">
        <f>LAUNCHPAD!K28</f>
        <v>0</v>
      </c>
      <c r="L12" s="23">
        <f>LAUNCHPAD!L28</f>
        <v>0</v>
      </c>
      <c r="M12" s="23">
        <f>LAUNCHPAD!M28</f>
        <v>0</v>
      </c>
      <c r="N12" s="23">
        <f>LAUNCHPAD!N28</f>
        <v>0</v>
      </c>
      <c r="P12" s="67">
        <f>+SUM(Tableau5[[Janvier]:[Décembre]])</f>
        <v>4000</v>
      </c>
    </row>
    <row r="15" spans="1:16" ht="30.75" customHeight="1" x14ac:dyDescent="0.3">
      <c r="B15" s="22" t="s">
        <v>49</v>
      </c>
      <c r="C15" s="24" t="s">
        <v>20</v>
      </c>
      <c r="D15" s="24" t="s">
        <v>21</v>
      </c>
      <c r="E15" s="24" t="s">
        <v>22</v>
      </c>
      <c r="F15" s="24" t="s">
        <v>23</v>
      </c>
      <c r="G15" s="24" t="s">
        <v>24</v>
      </c>
      <c r="H15" s="24" t="s">
        <v>25</v>
      </c>
      <c r="I15" s="24" t="s">
        <v>26</v>
      </c>
      <c r="J15" s="24" t="s">
        <v>27</v>
      </c>
      <c r="K15" s="24" t="s">
        <v>28</v>
      </c>
      <c r="L15" s="24" t="s">
        <v>29</v>
      </c>
      <c r="M15" s="24" t="s">
        <v>30</v>
      </c>
      <c r="N15" s="24" t="s">
        <v>31</v>
      </c>
      <c r="O15" s="24" t="s">
        <v>48</v>
      </c>
      <c r="P15" s="68" t="s">
        <v>52</v>
      </c>
    </row>
    <row r="16" spans="1:16" ht="26.25" customHeight="1" x14ac:dyDescent="0.25">
      <c r="B16" s="21" t="str">
        <f>LAUNCHPAD!B18</f>
        <v>Salaires</v>
      </c>
      <c r="C16" s="23">
        <f>LAUNCHPAD!C18</f>
        <v>8000</v>
      </c>
      <c r="D16" s="23">
        <f>LAUNCHPAD!D18</f>
        <v>8000</v>
      </c>
      <c r="E16" s="23">
        <f>LAUNCHPAD!E18</f>
        <v>0</v>
      </c>
      <c r="F16" s="23">
        <f>LAUNCHPAD!F18</f>
        <v>0</v>
      </c>
      <c r="G16" s="23">
        <f>LAUNCHPAD!G18</f>
        <v>0</v>
      </c>
      <c r="H16" s="23">
        <f>LAUNCHPAD!H18</f>
        <v>0</v>
      </c>
      <c r="I16" s="23">
        <f>LAUNCHPAD!I18</f>
        <v>0</v>
      </c>
      <c r="J16" s="23">
        <f>LAUNCHPAD!J18</f>
        <v>0</v>
      </c>
      <c r="K16" s="23">
        <f>LAUNCHPAD!K18</f>
        <v>0</v>
      </c>
      <c r="L16" s="23">
        <f>LAUNCHPAD!L18</f>
        <v>0</v>
      </c>
      <c r="M16" s="23">
        <f>LAUNCHPAD!M18</f>
        <v>0</v>
      </c>
      <c r="N16" s="23">
        <f>LAUNCHPAD!N18</f>
        <v>0</v>
      </c>
      <c r="P16" s="67">
        <f>+SUM(Tableau3[[#This Row],[Janvier]:[Décembre]])</f>
        <v>16000</v>
      </c>
    </row>
    <row r="17" spans="2:16" ht="24" customHeight="1" x14ac:dyDescent="0.25">
      <c r="B17" s="21" t="str">
        <f>LAUNCHPAD!B19</f>
        <v>Aides Financières</v>
      </c>
      <c r="C17" s="23">
        <f>LAUNCHPAD!C19</f>
        <v>0</v>
      </c>
      <c r="D17" s="23">
        <f>LAUNCHPAD!D19</f>
        <v>0</v>
      </c>
      <c r="E17" s="23">
        <f>LAUNCHPAD!E19</f>
        <v>0</v>
      </c>
      <c r="F17" s="23">
        <f>LAUNCHPAD!F19</f>
        <v>0</v>
      </c>
      <c r="G17" s="23">
        <f>LAUNCHPAD!G19</f>
        <v>0</v>
      </c>
      <c r="H17" s="23">
        <f>LAUNCHPAD!H19</f>
        <v>0</v>
      </c>
      <c r="I17" s="23">
        <f>LAUNCHPAD!I19</f>
        <v>0</v>
      </c>
      <c r="J17" s="23">
        <f>LAUNCHPAD!J19</f>
        <v>0</v>
      </c>
      <c r="K17" s="23">
        <f>LAUNCHPAD!K19</f>
        <v>0</v>
      </c>
      <c r="L17" s="23">
        <f>LAUNCHPAD!L19</f>
        <v>0</v>
      </c>
      <c r="M17" s="23">
        <f>LAUNCHPAD!M19</f>
        <v>0</v>
      </c>
      <c r="N17" s="23">
        <f>LAUNCHPAD!N19</f>
        <v>0</v>
      </c>
      <c r="P17" s="67">
        <f>+SUM(Tableau3[[#This Row],[Janvier]:[Décembre]])</f>
        <v>0</v>
      </c>
    </row>
    <row r="18" spans="2:16" ht="23.25" customHeight="1" x14ac:dyDescent="0.25">
      <c r="B18" s="21" t="str">
        <f>LAUNCHPAD!B20</f>
        <v>Cadeaux</v>
      </c>
      <c r="C18" s="23">
        <f>LAUNCHPAD!C20</f>
        <v>0</v>
      </c>
      <c r="D18" s="23">
        <f>LAUNCHPAD!D20</f>
        <v>0</v>
      </c>
      <c r="E18" s="23">
        <f>LAUNCHPAD!E20</f>
        <v>0</v>
      </c>
      <c r="F18" s="23">
        <f>LAUNCHPAD!F20</f>
        <v>0</v>
      </c>
      <c r="G18" s="23">
        <f>LAUNCHPAD!G20</f>
        <v>0</v>
      </c>
      <c r="H18" s="23">
        <f>LAUNCHPAD!H20</f>
        <v>0</v>
      </c>
      <c r="I18" s="23">
        <f>LAUNCHPAD!I20</f>
        <v>0</v>
      </c>
      <c r="J18" s="23">
        <f>LAUNCHPAD!J20</f>
        <v>0</v>
      </c>
      <c r="K18" s="23">
        <f>LAUNCHPAD!K20</f>
        <v>0</v>
      </c>
      <c r="L18" s="23">
        <f>LAUNCHPAD!L20</f>
        <v>0</v>
      </c>
      <c r="M18" s="23">
        <f>LAUNCHPAD!M20</f>
        <v>0</v>
      </c>
      <c r="N18" s="23">
        <f>LAUNCHPAD!N20</f>
        <v>0</v>
      </c>
      <c r="P18" s="67">
        <f>+SUM(Tableau3[[#This Row],[Janvier]:[Décembre]])</f>
        <v>0</v>
      </c>
    </row>
    <row r="19" spans="2:16" ht="26.25" customHeight="1" x14ac:dyDescent="0.25">
      <c r="B19" s="21" t="str">
        <f>LAUNCHPAD!B21</f>
        <v>Retour d'investissement</v>
      </c>
      <c r="C19" s="23">
        <f>LAUNCHPAD!C21</f>
        <v>0</v>
      </c>
      <c r="D19" s="23">
        <f>LAUNCHPAD!D21</f>
        <v>0</v>
      </c>
      <c r="E19" s="23">
        <f>LAUNCHPAD!E21</f>
        <v>0</v>
      </c>
      <c r="F19" s="23">
        <f>LAUNCHPAD!F21</f>
        <v>0</v>
      </c>
      <c r="G19" s="23">
        <f>LAUNCHPAD!G21</f>
        <v>0</v>
      </c>
      <c r="H19" s="23">
        <f>LAUNCHPAD!H21</f>
        <v>0</v>
      </c>
      <c r="I19" s="23">
        <f>LAUNCHPAD!I21</f>
        <v>0</v>
      </c>
      <c r="J19" s="23">
        <f>LAUNCHPAD!J21</f>
        <v>0</v>
      </c>
      <c r="K19" s="23">
        <f>LAUNCHPAD!K21</f>
        <v>0</v>
      </c>
      <c r="L19" s="23">
        <f>LAUNCHPAD!L21</f>
        <v>0</v>
      </c>
      <c r="M19" s="23">
        <f>LAUNCHPAD!M21</f>
        <v>0</v>
      </c>
      <c r="N19" s="23">
        <f>LAUNCHPAD!N21</f>
        <v>0</v>
      </c>
      <c r="P19" s="67">
        <f>+SUM(Tableau3[[#This Row],[Janvier]:[Décembre]])</f>
        <v>0</v>
      </c>
    </row>
    <row r="20" spans="2:16" ht="28.5" customHeight="1" x14ac:dyDescent="0.25">
      <c r="B20" s="21" t="str">
        <f>LAUNCHPAD!B22</f>
        <v>Intérêts/Dividendes</v>
      </c>
      <c r="C20" s="23">
        <f>LAUNCHPAD!C22</f>
        <v>0</v>
      </c>
      <c r="D20" s="23">
        <f>LAUNCHPAD!D22</f>
        <v>0</v>
      </c>
      <c r="E20" s="23">
        <f>LAUNCHPAD!E22</f>
        <v>0</v>
      </c>
      <c r="F20" s="23">
        <f>LAUNCHPAD!F22</f>
        <v>0</v>
      </c>
      <c r="G20" s="23">
        <f>LAUNCHPAD!G22</f>
        <v>0</v>
      </c>
      <c r="H20" s="23">
        <f>LAUNCHPAD!H22</f>
        <v>0</v>
      </c>
      <c r="I20" s="23">
        <f>LAUNCHPAD!I22</f>
        <v>0</v>
      </c>
      <c r="J20" s="23">
        <f>LAUNCHPAD!J22</f>
        <v>0</v>
      </c>
      <c r="K20" s="23">
        <f>LAUNCHPAD!K22</f>
        <v>0</v>
      </c>
      <c r="L20" s="23">
        <f>LAUNCHPAD!L22</f>
        <v>0</v>
      </c>
      <c r="M20" s="23">
        <f>LAUNCHPAD!M22</f>
        <v>0</v>
      </c>
      <c r="N20" s="23">
        <f>LAUNCHPAD!N22</f>
        <v>0</v>
      </c>
      <c r="P20" s="67">
        <f>+SUM(Tableau3[[#This Row],[Janvier]:[Décembre]])</f>
        <v>0</v>
      </c>
    </row>
    <row r="21" spans="2:16" ht="24.75" customHeight="1" x14ac:dyDescent="0.25">
      <c r="B21" s="21" t="str">
        <f>LAUNCHPAD!B23</f>
        <v>Divers</v>
      </c>
      <c r="C21" s="23">
        <f>LAUNCHPAD!C23</f>
        <v>0</v>
      </c>
      <c r="D21" s="23">
        <f>LAUNCHPAD!D23</f>
        <v>0</v>
      </c>
      <c r="E21" s="23">
        <f>LAUNCHPAD!E23</f>
        <v>0</v>
      </c>
      <c r="F21" s="23">
        <f>LAUNCHPAD!F23</f>
        <v>0</v>
      </c>
      <c r="G21" s="23">
        <f>LAUNCHPAD!G23</f>
        <v>0</v>
      </c>
      <c r="H21" s="23">
        <f>LAUNCHPAD!H23</f>
        <v>0</v>
      </c>
      <c r="I21" s="23">
        <f>LAUNCHPAD!I23</f>
        <v>0</v>
      </c>
      <c r="J21" s="23">
        <f>LAUNCHPAD!J23</f>
        <v>0</v>
      </c>
      <c r="K21" s="23">
        <f>LAUNCHPAD!K23</f>
        <v>0</v>
      </c>
      <c r="L21" s="23">
        <f>LAUNCHPAD!L23</f>
        <v>0</v>
      </c>
      <c r="M21" s="23">
        <f>LAUNCHPAD!M23</f>
        <v>0</v>
      </c>
      <c r="N21" s="23">
        <f>LAUNCHPAD!N23</f>
        <v>0</v>
      </c>
      <c r="P21" s="67">
        <f>+SUM(Tableau3[[#This Row],[Janvier]:[Décembre]])</f>
        <v>0</v>
      </c>
    </row>
    <row r="22" spans="2:16" ht="30" customHeight="1" x14ac:dyDescent="0.25">
      <c r="B22" s="21" t="str">
        <f>LAUNCHPAD!B24</f>
        <v>Flux de Trésrerie M-1</v>
      </c>
      <c r="C22" s="23">
        <f>LAUNCHPAD!C24</f>
        <v>0</v>
      </c>
      <c r="D22" s="23">
        <f>LAUNCHPAD!D24</f>
        <v>300</v>
      </c>
      <c r="E22" s="23">
        <f>LAUNCHPAD!E24</f>
        <v>0</v>
      </c>
      <c r="F22" s="23">
        <f>LAUNCHPAD!F24</f>
        <v>0</v>
      </c>
      <c r="G22" s="23">
        <f>LAUNCHPAD!G24</f>
        <v>0</v>
      </c>
      <c r="H22" s="23">
        <f>LAUNCHPAD!H24</f>
        <v>0</v>
      </c>
      <c r="I22" s="23">
        <f>LAUNCHPAD!I24</f>
        <v>0</v>
      </c>
      <c r="J22" s="23">
        <f>LAUNCHPAD!J24</f>
        <v>0</v>
      </c>
      <c r="K22" s="23">
        <f>LAUNCHPAD!K24</f>
        <v>0</v>
      </c>
      <c r="L22" s="23">
        <f>LAUNCHPAD!L24</f>
        <v>0</v>
      </c>
      <c r="M22" s="23">
        <f>LAUNCHPAD!M24</f>
        <v>0</v>
      </c>
      <c r="N22" s="23">
        <f>LAUNCHPAD!N24</f>
        <v>0</v>
      </c>
      <c r="P22" s="67">
        <f ca="1">Feuil1!O8</f>
        <v>300</v>
      </c>
    </row>
    <row r="23" spans="2:16" ht="22.5" customHeight="1" x14ac:dyDescent="0.25">
      <c r="B23" s="21" t="s">
        <v>52</v>
      </c>
      <c r="C23" s="70">
        <f>SUBTOTAL(109,Tableau3[Janvier])</f>
        <v>8000</v>
      </c>
      <c r="D23" s="70">
        <f>SUBTOTAL(109,Tableau3[Février])</f>
        <v>8300</v>
      </c>
      <c r="E23" s="70">
        <f>SUBTOTAL(109,Tableau3[Mars])</f>
        <v>0</v>
      </c>
      <c r="F23" s="70">
        <f>SUBTOTAL(109,Tableau3[Avril])</f>
        <v>0</v>
      </c>
      <c r="G23" s="70">
        <f>SUBTOTAL(109,Tableau3[Mai])</f>
        <v>0</v>
      </c>
      <c r="H23" s="70">
        <f>SUBTOTAL(109,Tableau3[Juin])</f>
        <v>0</v>
      </c>
      <c r="I23" s="70">
        <f>SUBTOTAL(109,Tableau3[Juillet])</f>
        <v>0</v>
      </c>
      <c r="J23" s="70">
        <f>SUBTOTAL(109,Tableau3[Août])</f>
        <v>0</v>
      </c>
      <c r="K23" s="70">
        <f>SUBTOTAL(109,Tableau3[Septembre])</f>
        <v>0</v>
      </c>
      <c r="L23" s="70">
        <f>SUBTOTAL(109,Tableau3[Octobre])</f>
        <v>0</v>
      </c>
      <c r="M23" s="70">
        <f>SUBTOTAL(109,Tableau3[Novembre])</f>
        <v>0</v>
      </c>
      <c r="N23" s="70">
        <f>SUBTOTAL(109,Tableau3[Décembre])</f>
        <v>0</v>
      </c>
      <c r="O23" s="63"/>
      <c r="P23" s="69">
        <f ca="1">SUBTOTAL(109,Tableau3[TOTAL])</f>
        <v>16300</v>
      </c>
    </row>
    <row r="24" spans="2:16" ht="19.5" customHeight="1" x14ac:dyDescent="0.25"/>
    <row r="25" spans="2:16" ht="19.5" customHeight="1" x14ac:dyDescent="0.25"/>
    <row r="26" spans="2:16" ht="33" customHeight="1" x14ac:dyDescent="0.25">
      <c r="B26" s="1" t="s">
        <v>50</v>
      </c>
      <c r="C26" s="25" t="s">
        <v>20</v>
      </c>
      <c r="D26" s="25" t="s">
        <v>21</v>
      </c>
      <c r="E26" s="25" t="s">
        <v>22</v>
      </c>
      <c r="F26" s="25" t="s">
        <v>23</v>
      </c>
      <c r="G26" s="25" t="s">
        <v>24</v>
      </c>
      <c r="H26" s="25" t="s">
        <v>25</v>
      </c>
      <c r="I26" s="25" t="s">
        <v>26</v>
      </c>
      <c r="J26" s="25" t="s">
        <v>27</v>
      </c>
      <c r="K26" s="25" t="s">
        <v>28</v>
      </c>
      <c r="L26" s="25" t="s">
        <v>29</v>
      </c>
      <c r="M26" s="25" t="s">
        <v>30</v>
      </c>
      <c r="N26" s="25" t="s">
        <v>31</v>
      </c>
      <c r="O26" s="25" t="s">
        <v>51</v>
      </c>
      <c r="P26" s="68" t="s">
        <v>52</v>
      </c>
    </row>
    <row r="27" spans="2:16" ht="22.5" customHeight="1" x14ac:dyDescent="0.25">
      <c r="B27" s="21" t="str">
        <f>LAUNCHPAD!B4</f>
        <v>Foyer</v>
      </c>
      <c r="C27" s="99">
        <f>SUMIFS(OJ!D:D,OJ!B:B,Tableau4[[#This Row],[Dépenses]],OJ!E:E,1)</f>
        <v>2300</v>
      </c>
      <c r="D27" s="99">
        <f>SUMIFS(OJ!D:D,OJ!B:B,Tableau4[[#This Row],[Dépenses]],OJ!E:E,2)</f>
        <v>2200</v>
      </c>
      <c r="E27" s="99">
        <f>SUMIFS(OJ!D:D,OJ!B:B,Tableau4[[#This Row],[Dépenses]],OJ!E:E,3)</f>
        <v>0</v>
      </c>
      <c r="F27" s="99">
        <f>SUMIFS(OJ!D:D,OJ!B:B,Tableau4[[#This Row],[Dépenses]],OJ!E:E,4)</f>
        <v>0</v>
      </c>
      <c r="G27" s="99">
        <f>SUMIFS(OJ!D:D,OJ!B:B,Tableau4[[#This Row],[Dépenses]],OJ!E:E,5)</f>
        <v>0</v>
      </c>
      <c r="H27" s="99">
        <f>SUMIFS(OJ!D:D,OJ!B:B,Tableau4[[#This Row],[Dépenses]],OJ!E:E,6)</f>
        <v>0</v>
      </c>
      <c r="I27" s="99">
        <f>SUMIFS(OJ!D:D,OJ!B:B,Tableau4[[#This Row],[Dépenses]],OJ!E:E,7)</f>
        <v>0</v>
      </c>
      <c r="J27" s="99">
        <f>SUMIFS(OJ!D:D,OJ!B:B,Tableau4[[#This Row],[Dépenses]],OJ!E:E,8)</f>
        <v>0</v>
      </c>
      <c r="K27" s="99">
        <f>SUMIFS(OJ!D:D,OJ!B:B,Tableau4[[#This Row],[Dépenses]],OJ!E:E,9)</f>
        <v>0</v>
      </c>
      <c r="L27" s="99">
        <f>SUMIFS(OJ!D:D,OJ!B:B,Tableau4[[#This Row],[Dépenses]],OJ!E:E,10)</f>
        <v>0</v>
      </c>
      <c r="M27" s="99">
        <f>SUMIFS(OJ!D:D,OJ!B:B,Tableau4[[#This Row],[Dépenses]],OJ!E:E,11)</f>
        <v>0</v>
      </c>
      <c r="N27" s="99">
        <f>SUMIFS(OJ!D:D,OJ!B:B,Tableau4[[#This Row],[Dépenses]],OJ!E:E,12)</f>
        <v>0</v>
      </c>
      <c r="P27" s="67">
        <f>+SUM(Tableau4[[#This Row],[Janvier]:[Décembre]])</f>
        <v>4500</v>
      </c>
    </row>
    <row r="28" spans="2:16" ht="24" customHeight="1" x14ac:dyDescent="0.25">
      <c r="B28" s="21" t="str">
        <f>LAUNCHPAD!C4</f>
        <v>Repas</v>
      </c>
      <c r="C28" s="99">
        <f>SUMIFS(OJ!D:D,OJ!B:B,Tableau4[[#This Row],[Dépenses]],OJ!E:E,1)</f>
        <v>250</v>
      </c>
      <c r="D28" s="99">
        <f>SUMIFS(OJ!D:D,OJ!B:B,Tableau4[[#This Row],[Dépenses]],OJ!E:E,2)</f>
        <v>900</v>
      </c>
      <c r="E28" s="99">
        <f>SUMIFS(OJ!D:D,OJ!B:B,Tableau4[[#This Row],[Dépenses]],OJ!E:E,3)</f>
        <v>0</v>
      </c>
      <c r="F28" s="99">
        <f>SUMIFS(OJ!D:D,OJ!B:B,Tableau4[[#This Row],[Dépenses]],OJ!E:E,4)</f>
        <v>0</v>
      </c>
      <c r="G28" s="99">
        <f>SUMIFS(OJ!D:D,OJ!B:B,Tableau4[[#This Row],[Dépenses]],OJ!E:E,5)</f>
        <v>0</v>
      </c>
      <c r="H28" s="99">
        <f>SUMIFS(OJ!D:D,OJ!B:B,Tableau4[[#This Row],[Dépenses]],OJ!E:E,6)</f>
        <v>0</v>
      </c>
      <c r="I28" s="99">
        <f>SUMIFS(OJ!D:D,OJ!B:B,Tableau4[[#This Row],[Dépenses]],OJ!E:E,7)</f>
        <v>0</v>
      </c>
      <c r="J28" s="99">
        <f>SUMIFS(OJ!D:D,OJ!B:B,Tableau4[[#This Row],[Dépenses]],OJ!E:E,8)</f>
        <v>0</v>
      </c>
      <c r="K28" s="99">
        <f>SUMIFS(OJ!D:D,OJ!B:B,Tableau4[[#This Row],[Dépenses]],OJ!E:E,9)</f>
        <v>0</v>
      </c>
      <c r="L28" s="99">
        <f>SUMIFS(OJ!D:D,OJ!B:B,Tableau4[[#This Row],[Dépenses]],OJ!E:E,10)</f>
        <v>0</v>
      </c>
      <c r="M28" s="99">
        <f>SUMIFS(OJ!D:D,OJ!B:B,Tableau4[[#This Row],[Dépenses]],OJ!E:E,11)</f>
        <v>0</v>
      </c>
      <c r="N28" s="99">
        <f>SUMIFS(OJ!D:D,OJ!B:B,Tableau4[[#This Row],[Dépenses]],OJ!E:E,12)</f>
        <v>0</v>
      </c>
      <c r="P28" s="67">
        <f>+SUM(Tableau4[[#This Row],[Janvier]:[Décembre]])</f>
        <v>1150</v>
      </c>
    </row>
    <row r="29" spans="2:16" ht="21.75" customHeight="1" x14ac:dyDescent="0.25">
      <c r="B29" s="21" t="str">
        <f>LAUNCHPAD!D4</f>
        <v>Transport</v>
      </c>
      <c r="C29" s="99">
        <f>SUMIFS(OJ!D:D,OJ!B:B,Tableau4[[#This Row],[Dépenses]],OJ!E:E,1)</f>
        <v>700</v>
      </c>
      <c r="D29" s="99">
        <f>SUMIFS(OJ!D:D,OJ!B:B,Tableau4[[#This Row],[Dépenses]],OJ!E:E,2)</f>
        <v>700</v>
      </c>
      <c r="E29" s="99">
        <f>SUMIFS(OJ!D:D,OJ!B:B,Tableau4[[#This Row],[Dépenses]],OJ!E:E,3)</f>
        <v>0</v>
      </c>
      <c r="F29" s="99">
        <f>SUMIFS(OJ!D:D,OJ!B:B,Tableau4[[#This Row],[Dépenses]],OJ!E:E,4)</f>
        <v>0</v>
      </c>
      <c r="G29" s="99">
        <f>SUMIFS(OJ!D:D,OJ!B:B,Tableau4[[#This Row],[Dépenses]],OJ!E:E,5)</f>
        <v>0</v>
      </c>
      <c r="H29" s="99">
        <f>SUMIFS(OJ!D:D,OJ!B:B,Tableau4[[#This Row],[Dépenses]],OJ!E:E,6)</f>
        <v>0</v>
      </c>
      <c r="I29" s="99">
        <f>SUMIFS(OJ!D:D,OJ!B:B,Tableau4[[#This Row],[Dépenses]],OJ!E:E,7)</f>
        <v>0</v>
      </c>
      <c r="J29" s="99">
        <f>SUMIFS(OJ!D:D,OJ!B:B,Tableau4[[#This Row],[Dépenses]],OJ!E:E,8)</f>
        <v>0</v>
      </c>
      <c r="K29" s="99">
        <f>SUMIFS(OJ!D:D,OJ!B:B,Tableau4[[#This Row],[Dépenses]],OJ!E:E,9)</f>
        <v>0</v>
      </c>
      <c r="L29" s="99">
        <f>SUMIFS(OJ!D:D,OJ!B:B,Tableau4[[#This Row],[Dépenses]],OJ!E:E,10)</f>
        <v>0</v>
      </c>
      <c r="M29" s="99">
        <f>SUMIFS(OJ!D:D,OJ!B:B,Tableau4[[#This Row],[Dépenses]],OJ!E:E,11)</f>
        <v>0</v>
      </c>
      <c r="N29" s="99">
        <f>SUMIFS(OJ!D:D,OJ!B:B,Tableau4[[#This Row],[Dépenses]],OJ!E:E,12)</f>
        <v>0</v>
      </c>
      <c r="P29" s="67">
        <f>+SUM(Tableau4[[#This Row],[Janvier]:[Décembre]])</f>
        <v>1400</v>
      </c>
    </row>
    <row r="30" spans="2:16" ht="23.25" customHeight="1" x14ac:dyDescent="0.25">
      <c r="B30" s="21" t="str">
        <f>LAUNCHPAD!E4</f>
        <v>Voyage</v>
      </c>
      <c r="C30" s="99">
        <f>SUMIFS(OJ!D:D,OJ!B:B,Tableau4[[#This Row],[Dépenses]],OJ!E:E,1)</f>
        <v>300</v>
      </c>
      <c r="D30" s="99">
        <f>SUMIFS(OJ!D:D,OJ!B:B,Tableau4[[#This Row],[Dépenses]],OJ!E:E,2)</f>
        <v>0</v>
      </c>
      <c r="E30" s="99">
        <f>SUMIFS(OJ!D:D,OJ!B:B,Tableau4[[#This Row],[Dépenses]],OJ!E:E,3)</f>
        <v>0</v>
      </c>
      <c r="F30" s="99">
        <f>SUMIFS(OJ!D:D,OJ!B:B,Tableau4[[#This Row],[Dépenses]],OJ!E:E,4)</f>
        <v>0</v>
      </c>
      <c r="G30" s="99">
        <f>SUMIFS(OJ!D:D,OJ!B:B,Tableau4[[#This Row],[Dépenses]],OJ!E:E,5)</f>
        <v>0</v>
      </c>
      <c r="H30" s="99">
        <f>SUMIFS(OJ!D:D,OJ!B:B,Tableau4[[#This Row],[Dépenses]],OJ!E:E,6)</f>
        <v>0</v>
      </c>
      <c r="I30" s="99">
        <f>SUMIFS(OJ!D:D,OJ!B:B,Tableau4[[#This Row],[Dépenses]],OJ!E:E,7)</f>
        <v>0</v>
      </c>
      <c r="J30" s="99">
        <f>SUMIFS(OJ!D:D,OJ!B:B,Tableau4[[#This Row],[Dépenses]],OJ!E:E,8)</f>
        <v>0</v>
      </c>
      <c r="K30" s="99">
        <f>SUMIFS(OJ!D:D,OJ!B:B,Tableau4[[#This Row],[Dépenses]],OJ!E:E,9)</f>
        <v>0</v>
      </c>
      <c r="L30" s="99">
        <f>SUMIFS(OJ!D:D,OJ!B:B,Tableau4[[#This Row],[Dépenses]],OJ!E:E,10)</f>
        <v>0</v>
      </c>
      <c r="M30" s="99">
        <f>SUMIFS(OJ!D:D,OJ!B:B,Tableau4[[#This Row],[Dépenses]],OJ!E:E,11)</f>
        <v>0</v>
      </c>
      <c r="N30" s="99">
        <f>SUMIFS(OJ!D:D,OJ!B:B,Tableau4[[#This Row],[Dépenses]],OJ!E:E,12)</f>
        <v>0</v>
      </c>
      <c r="P30" s="67">
        <f>+SUM(Tableau4[[#This Row],[Janvier]:[Décembre]])</f>
        <v>300</v>
      </c>
    </row>
    <row r="31" spans="2:16" ht="25.5" customHeight="1" x14ac:dyDescent="0.25">
      <c r="B31" s="21" t="str">
        <f>LAUNCHPAD!F4</f>
        <v>Self_Care</v>
      </c>
      <c r="C31" s="99">
        <f>SUMIFS(OJ!D:D,OJ!B:B,Tableau4[[#This Row],[Dépenses]],OJ!E:E,1)</f>
        <v>500</v>
      </c>
      <c r="D31" s="99">
        <f>SUMIFS(OJ!D:D,OJ!B:B,Tableau4[[#This Row],[Dépenses]],OJ!E:E,2)</f>
        <v>700</v>
      </c>
      <c r="E31" s="99">
        <f>SUMIFS(OJ!D:D,OJ!B:B,Tableau4[[#This Row],[Dépenses]],OJ!E:E,3)</f>
        <v>0</v>
      </c>
      <c r="F31" s="99">
        <f>SUMIFS(OJ!D:D,OJ!B:B,Tableau4[[#This Row],[Dépenses]],OJ!E:E,4)</f>
        <v>0</v>
      </c>
      <c r="G31" s="99">
        <f>SUMIFS(OJ!D:D,OJ!B:B,Tableau4[[#This Row],[Dépenses]],OJ!E:E,5)</f>
        <v>0</v>
      </c>
      <c r="H31" s="99">
        <f>SUMIFS(OJ!D:D,OJ!B:B,Tableau4[[#This Row],[Dépenses]],OJ!E:E,6)</f>
        <v>0</v>
      </c>
      <c r="I31" s="99">
        <f>SUMIFS(OJ!D:D,OJ!B:B,Tableau4[[#This Row],[Dépenses]],OJ!E:E,7)</f>
        <v>0</v>
      </c>
      <c r="J31" s="99">
        <f>SUMIFS(OJ!D:D,OJ!B:B,Tableau4[[#This Row],[Dépenses]],OJ!E:E,8)</f>
        <v>0</v>
      </c>
      <c r="K31" s="99">
        <f>SUMIFS(OJ!D:D,OJ!B:B,Tableau4[[#This Row],[Dépenses]],OJ!E:E,9)</f>
        <v>0</v>
      </c>
      <c r="L31" s="99">
        <f>SUMIFS(OJ!D:D,OJ!B:B,Tableau4[[#This Row],[Dépenses]],OJ!E:E,10)</f>
        <v>0</v>
      </c>
      <c r="M31" s="99">
        <f>SUMIFS(OJ!D:D,OJ!B:B,Tableau4[[#This Row],[Dépenses]],OJ!E:E,11)</f>
        <v>0</v>
      </c>
      <c r="N31" s="99">
        <f>SUMIFS(OJ!D:D,OJ!B:B,Tableau4[[#This Row],[Dépenses]],OJ!E:E,12)</f>
        <v>0</v>
      </c>
      <c r="P31" s="67">
        <f>+SUM(Tableau4[[#This Row],[Janvier]:[Décembre]])</f>
        <v>1200</v>
      </c>
    </row>
    <row r="32" spans="2:16" ht="24.75" customHeight="1" x14ac:dyDescent="0.25">
      <c r="B32" s="21" t="str">
        <f>LAUNCHPAD!G4</f>
        <v>Loisirs</v>
      </c>
      <c r="C32" s="99">
        <f>SUMIFS(OJ!D:D,OJ!B:B,Tableau4[[#This Row],[Dépenses]],OJ!E:E,1)</f>
        <v>0</v>
      </c>
      <c r="D32" s="99">
        <f>SUMIFS(OJ!D:D,OJ!B:B,Tableau4[[#This Row],[Dépenses]],OJ!E:E,2)</f>
        <v>0</v>
      </c>
      <c r="E32" s="99">
        <f>SUMIFS(OJ!D:D,OJ!B:B,Tableau4[[#This Row],[Dépenses]],OJ!E:E,3)</f>
        <v>0</v>
      </c>
      <c r="F32" s="99">
        <f>SUMIFS(OJ!D:D,OJ!B:B,Tableau4[[#This Row],[Dépenses]],OJ!E:E,4)</f>
        <v>0</v>
      </c>
      <c r="G32" s="99">
        <f>SUMIFS(OJ!D:D,OJ!B:B,Tableau4[[#This Row],[Dépenses]],OJ!E:E,5)</f>
        <v>0</v>
      </c>
      <c r="H32" s="99">
        <f>SUMIFS(OJ!D:D,OJ!B:B,Tableau4[[#This Row],[Dépenses]],OJ!E:E,6)</f>
        <v>0</v>
      </c>
      <c r="I32" s="99">
        <f>SUMIFS(OJ!D:D,OJ!B:B,Tableau4[[#This Row],[Dépenses]],OJ!E:E,7)</f>
        <v>0</v>
      </c>
      <c r="J32" s="99">
        <f>SUMIFS(OJ!D:D,OJ!B:B,Tableau4[[#This Row],[Dépenses]],OJ!E:E,8)</f>
        <v>0</v>
      </c>
      <c r="K32" s="99">
        <f>SUMIFS(OJ!D:D,OJ!B:B,Tableau4[[#This Row],[Dépenses]],OJ!E:E,9)</f>
        <v>0</v>
      </c>
      <c r="L32" s="99">
        <f>SUMIFS(OJ!D:D,OJ!B:B,Tableau4[[#This Row],[Dépenses]],OJ!E:E,10)</f>
        <v>0</v>
      </c>
      <c r="M32" s="99">
        <f>SUMIFS(OJ!D:D,OJ!B:B,Tableau4[[#This Row],[Dépenses]],OJ!E:E,11)</f>
        <v>0</v>
      </c>
      <c r="N32" s="99">
        <f>SUMIFS(OJ!D:D,OJ!B:B,Tableau4[[#This Row],[Dépenses]],OJ!E:E,12)</f>
        <v>0</v>
      </c>
      <c r="P32" s="67">
        <f>+SUM(Tableau4[[#This Row],[Janvier]:[Décembre]])</f>
        <v>0</v>
      </c>
    </row>
    <row r="33" spans="2:16" ht="23.25" customHeight="1" x14ac:dyDescent="0.25">
      <c r="B33" s="21" t="str">
        <f>LAUNCHPAD!H4</f>
        <v>Animaux</v>
      </c>
      <c r="C33" s="99">
        <f>SUMIFS(OJ!D:D,OJ!B:B,Tableau4[[#This Row],[Dépenses]],OJ!E:E,1)</f>
        <v>0</v>
      </c>
      <c r="D33" s="99">
        <f>SUMIFS(OJ!D:D,OJ!B:B,Tableau4[[#This Row],[Dépenses]],OJ!E:E,2)</f>
        <v>0</v>
      </c>
      <c r="E33" s="99">
        <f>SUMIFS(OJ!D:D,OJ!B:B,Tableau4[[#This Row],[Dépenses]],OJ!E:E,3)</f>
        <v>0</v>
      </c>
      <c r="F33" s="99">
        <f>SUMIFS(OJ!D:D,OJ!B:B,Tableau4[[#This Row],[Dépenses]],OJ!E:E,4)</f>
        <v>0</v>
      </c>
      <c r="G33" s="99">
        <f>SUMIFS(OJ!D:D,OJ!B:B,Tableau4[[#This Row],[Dépenses]],OJ!E:E,5)</f>
        <v>0</v>
      </c>
      <c r="H33" s="99">
        <f>SUMIFS(OJ!D:D,OJ!B:B,Tableau4[[#This Row],[Dépenses]],OJ!E:E,6)</f>
        <v>0</v>
      </c>
      <c r="I33" s="99">
        <f>SUMIFS(OJ!D:D,OJ!B:B,Tableau4[[#This Row],[Dépenses]],OJ!E:E,7)</f>
        <v>0</v>
      </c>
      <c r="J33" s="99">
        <f>SUMIFS(OJ!D:D,OJ!B:B,Tableau4[[#This Row],[Dépenses]],OJ!E:E,8)</f>
        <v>0</v>
      </c>
      <c r="K33" s="99">
        <f>SUMIFS(OJ!D:D,OJ!B:B,Tableau4[[#This Row],[Dépenses]],OJ!E:E,9)</f>
        <v>0</v>
      </c>
      <c r="L33" s="99">
        <f>SUMIFS(OJ!D:D,OJ!B:B,Tableau4[[#This Row],[Dépenses]],OJ!E:E,10)</f>
        <v>0</v>
      </c>
      <c r="M33" s="99">
        <f>SUMIFS(OJ!D:D,OJ!B:B,Tableau4[[#This Row],[Dépenses]],OJ!E:E,11)</f>
        <v>0</v>
      </c>
      <c r="N33" s="99">
        <f>SUMIFS(OJ!D:D,OJ!B:B,Tableau4[[#This Row],[Dépenses]],OJ!E:E,12)</f>
        <v>0</v>
      </c>
      <c r="P33" s="67">
        <f>+SUM(Tableau4[[#This Row],[Janvier]:[Décembre]])</f>
        <v>0</v>
      </c>
    </row>
    <row r="34" spans="2:16" ht="27" customHeight="1" x14ac:dyDescent="0.25">
      <c r="B34" s="21" t="str">
        <f>LAUNCHPAD!I4</f>
        <v>Cadeaux</v>
      </c>
      <c r="C34" s="99">
        <f>SUMIFS(OJ!D:D,OJ!B:B,Tableau4[[#This Row],[Dépenses]],OJ!E:E,1)</f>
        <v>1450</v>
      </c>
      <c r="D34" s="99">
        <f>SUMIFS(OJ!D:D,OJ!B:B,Tableau4[[#This Row],[Dépenses]],OJ!E:E,2)</f>
        <v>1500</v>
      </c>
      <c r="E34" s="99">
        <f>SUMIFS(OJ!D:D,OJ!B:B,Tableau4[[#This Row],[Dépenses]],OJ!E:E,3)</f>
        <v>0</v>
      </c>
      <c r="F34" s="99">
        <f>SUMIFS(OJ!D:D,OJ!B:B,Tableau4[[#This Row],[Dépenses]],OJ!E:E,4)</f>
        <v>0</v>
      </c>
      <c r="G34" s="99">
        <f>SUMIFS(OJ!D:D,OJ!B:B,Tableau4[[#This Row],[Dépenses]],OJ!E:E,5)</f>
        <v>0</v>
      </c>
      <c r="H34" s="99">
        <f>SUMIFS(OJ!D:D,OJ!B:B,Tableau4[[#This Row],[Dépenses]],OJ!E:E,6)</f>
        <v>0</v>
      </c>
      <c r="I34" s="99">
        <f>SUMIFS(OJ!D:D,OJ!B:B,Tableau4[[#This Row],[Dépenses]],OJ!E:E,7)</f>
        <v>0</v>
      </c>
      <c r="J34" s="99">
        <f>SUMIFS(OJ!D:D,OJ!B:B,Tableau4[[#This Row],[Dépenses]],OJ!E:E,8)</f>
        <v>0</v>
      </c>
      <c r="K34" s="99">
        <f>SUMIFS(OJ!D:D,OJ!B:B,Tableau4[[#This Row],[Dépenses]],OJ!E:E,9)</f>
        <v>0</v>
      </c>
      <c r="L34" s="99">
        <f>SUMIFS(OJ!D:D,OJ!B:B,Tableau4[[#This Row],[Dépenses]],OJ!E:E,10)</f>
        <v>0</v>
      </c>
      <c r="M34" s="99">
        <f>SUMIFS(OJ!D:D,OJ!B:B,Tableau4[[#This Row],[Dépenses]],OJ!E:E,11)</f>
        <v>0</v>
      </c>
      <c r="N34" s="99">
        <f>SUMIFS(OJ!D:D,OJ!B:B,Tableau4[[#This Row],[Dépenses]],OJ!E:E,12)</f>
        <v>0</v>
      </c>
      <c r="P34" s="67">
        <f>+SUM(Tableau4[[#This Row],[Janvier]:[Décembre]])</f>
        <v>2950</v>
      </c>
    </row>
    <row r="35" spans="2:16" ht="23.25" customHeight="1" x14ac:dyDescent="0.25">
      <c r="B35" s="21" t="str">
        <f>LAUNCHPAD!J4</f>
        <v>Charité</v>
      </c>
      <c r="C35" s="99">
        <f>SUMIFS(OJ!D:D,OJ!B:B,Tableau4[[#This Row],[Dépenses]],OJ!E:E,1)</f>
        <v>200</v>
      </c>
      <c r="D35" s="99">
        <f>SUMIFS(OJ!D:D,OJ!B:B,Tableau4[[#This Row],[Dépenses]],OJ!E:E,2)</f>
        <v>0</v>
      </c>
      <c r="E35" s="99">
        <f>SUMIFS(OJ!D:D,OJ!B:B,Tableau4[[#This Row],[Dépenses]],OJ!E:E,3)</f>
        <v>0</v>
      </c>
      <c r="F35" s="99">
        <f>SUMIFS(OJ!D:D,OJ!B:B,Tableau4[[#This Row],[Dépenses]],OJ!E:E,4)</f>
        <v>0</v>
      </c>
      <c r="G35" s="99">
        <f>SUMIFS(OJ!D:D,OJ!B:B,Tableau4[[#This Row],[Dépenses]],OJ!E:E,5)</f>
        <v>0</v>
      </c>
      <c r="H35" s="99">
        <f>SUMIFS(OJ!D:D,OJ!B:B,Tableau4[[#This Row],[Dépenses]],OJ!E:E,6)</f>
        <v>0</v>
      </c>
      <c r="I35" s="99">
        <f>SUMIFS(OJ!D:D,OJ!B:B,Tableau4[[#This Row],[Dépenses]],OJ!E:E,7)</f>
        <v>0</v>
      </c>
      <c r="J35" s="99">
        <f>SUMIFS(OJ!D:D,OJ!B:B,Tableau4[[#This Row],[Dépenses]],OJ!E:E,8)</f>
        <v>0</v>
      </c>
      <c r="K35" s="99">
        <f>SUMIFS(OJ!D:D,OJ!B:B,Tableau4[[#This Row],[Dépenses]],OJ!E:E,9)</f>
        <v>0</v>
      </c>
      <c r="L35" s="99">
        <f>SUMIFS(OJ!D:D,OJ!B:B,Tableau4[[#This Row],[Dépenses]],OJ!E:E,10)</f>
        <v>0</v>
      </c>
      <c r="M35" s="99">
        <f>SUMIFS(OJ!D:D,OJ!B:B,Tableau4[[#This Row],[Dépenses]],OJ!E:E,11)</f>
        <v>0</v>
      </c>
      <c r="N35" s="99">
        <f>SUMIFS(OJ!D:D,OJ!B:B,Tableau4[[#This Row],[Dépenses]],OJ!E:E,12)</f>
        <v>0</v>
      </c>
      <c r="P35" s="67">
        <f>+SUM(Tableau4[[#This Row],[Janvier]:[Décembre]])</f>
        <v>200</v>
      </c>
    </row>
    <row r="36" spans="2:16" ht="23.25" customHeight="1" x14ac:dyDescent="0.25">
      <c r="B36" s="21" t="str">
        <f>LAUNCHPAD!K4</f>
        <v>Sport</v>
      </c>
      <c r="C36" s="99">
        <f>SUMIFS(OJ!D:D,OJ!B:B,Tableau4[[#This Row],[Dépenses]],OJ!E:E,1)</f>
        <v>0</v>
      </c>
      <c r="D36" s="99">
        <f>SUMIFS(OJ!D:D,OJ!B:B,Tableau4[[#This Row],[Dépenses]],OJ!E:E,2)</f>
        <v>0</v>
      </c>
      <c r="E36" s="99">
        <f>SUMIFS(OJ!D:D,OJ!B:B,Tableau4[[#This Row],[Dépenses]],OJ!E:E,3)</f>
        <v>0</v>
      </c>
      <c r="F36" s="99">
        <f>SUMIFS(OJ!D:D,OJ!B:B,Tableau4[[#This Row],[Dépenses]],OJ!E:E,4)</f>
        <v>0</v>
      </c>
      <c r="G36" s="99">
        <f>SUMIFS(OJ!D:D,OJ!B:B,Tableau4[[#This Row],[Dépenses]],OJ!E:E,5)</f>
        <v>0</v>
      </c>
      <c r="H36" s="99">
        <f>SUMIFS(OJ!D:D,OJ!B:B,Tableau4[[#This Row],[Dépenses]],OJ!E:E,6)</f>
        <v>0</v>
      </c>
      <c r="I36" s="99">
        <f>SUMIFS(OJ!D:D,OJ!B:B,Tableau4[[#This Row],[Dépenses]],OJ!E:E,7)</f>
        <v>0</v>
      </c>
      <c r="J36" s="99">
        <f>SUMIFS(OJ!D:D,OJ!B:B,Tableau4[[#This Row],[Dépenses]],OJ!E:E,8)</f>
        <v>0</v>
      </c>
      <c r="K36" s="99">
        <f>SUMIFS(OJ!D:D,OJ!B:B,Tableau4[[#This Row],[Dépenses]],OJ!E:E,9)</f>
        <v>0</v>
      </c>
      <c r="L36" s="99">
        <f>SUMIFS(OJ!D:D,OJ!B:B,Tableau4[[#This Row],[Dépenses]],OJ!E:E,10)</f>
        <v>0</v>
      </c>
      <c r="M36" s="99">
        <f>SUMIFS(OJ!D:D,OJ!B:B,Tableau4[[#This Row],[Dépenses]],OJ!E:E,11)</f>
        <v>0</v>
      </c>
      <c r="N36" s="99">
        <f>SUMIFS(OJ!D:D,OJ!B:B,Tableau4[[#This Row],[Dépenses]],OJ!E:E,12)</f>
        <v>0</v>
      </c>
      <c r="P36" s="67">
        <f>+SUM(Tableau4[[#This Row],[Janvier]:[Décembre]])</f>
        <v>0</v>
      </c>
    </row>
    <row r="37" spans="2:16" ht="21.75" customHeight="1" x14ac:dyDescent="0.25">
      <c r="B37" s="21" t="str">
        <f>LAUNCHPAD!L4</f>
        <v xml:space="preserve">Education </v>
      </c>
      <c r="C37" s="99">
        <f>SUMIFS(OJ!D:D,OJ!B:B,Tableau4[[#This Row],[Dépenses]],OJ!E:E,1)</f>
        <v>0</v>
      </c>
      <c r="D37" s="99">
        <f>SUMIFS(OJ!D:D,OJ!B:B,Tableau4[[#This Row],[Dépenses]],OJ!E:E,2)</f>
        <v>0</v>
      </c>
      <c r="E37" s="99">
        <f>SUMIFS(OJ!D:D,OJ!B:B,Tableau4[[#This Row],[Dépenses]],OJ!E:E,3)</f>
        <v>0</v>
      </c>
      <c r="F37" s="99">
        <f>SUMIFS(OJ!D:D,OJ!B:B,Tableau4[[#This Row],[Dépenses]],OJ!E:E,4)</f>
        <v>0</v>
      </c>
      <c r="G37" s="99">
        <f>SUMIFS(OJ!D:D,OJ!B:B,Tableau4[[#This Row],[Dépenses]],OJ!E:E,5)</f>
        <v>0</v>
      </c>
      <c r="H37" s="99">
        <f>SUMIFS(OJ!D:D,OJ!B:B,Tableau4[[#This Row],[Dépenses]],OJ!E:E,6)</f>
        <v>0</v>
      </c>
      <c r="I37" s="99">
        <f>SUMIFS(OJ!D:D,OJ!B:B,Tableau4[[#This Row],[Dépenses]],OJ!E:E,7)</f>
        <v>0</v>
      </c>
      <c r="J37" s="99">
        <f>SUMIFS(OJ!D:D,OJ!B:B,Tableau4[[#This Row],[Dépenses]],OJ!E:E,8)</f>
        <v>0</v>
      </c>
      <c r="K37" s="99">
        <f>SUMIFS(OJ!D:D,OJ!B:B,Tableau4[[#This Row],[Dépenses]],OJ!E:E,9)</f>
        <v>0</v>
      </c>
      <c r="L37" s="99">
        <f>SUMIFS(OJ!D:D,OJ!B:B,Tableau4[[#This Row],[Dépenses]],OJ!E:E,10)</f>
        <v>0</v>
      </c>
      <c r="M37" s="99">
        <f>SUMIFS(OJ!D:D,OJ!B:B,Tableau4[[#This Row],[Dépenses]],OJ!E:E,11)</f>
        <v>0</v>
      </c>
      <c r="N37" s="99">
        <f>SUMIFS(OJ!D:D,OJ!B:B,Tableau4[[#This Row],[Dépenses]],OJ!E:E,12)</f>
        <v>0</v>
      </c>
      <c r="P37" s="67">
        <f>+SUM(Tableau4[[#This Row],[Janvier]:[Décembre]])</f>
        <v>0</v>
      </c>
    </row>
    <row r="38" spans="2:16" ht="26.25" customHeight="1" x14ac:dyDescent="0.25">
      <c r="B38" s="21" t="str">
        <f>LAUNCHPAD!M4</f>
        <v>Crédit</v>
      </c>
      <c r="C38" s="99">
        <f>SUMIFS(OJ!D:D,OJ!B:B,Tableau4[[#This Row],[Dépenses]],OJ!E:E,1)</f>
        <v>0</v>
      </c>
      <c r="D38" s="99">
        <f>SUMIFS(OJ!D:D,OJ!B:B,Tableau4[[#This Row],[Dépenses]],OJ!E:E,2)</f>
        <v>0</v>
      </c>
      <c r="E38" s="99">
        <f>SUMIFS(OJ!D:D,OJ!B:B,Tableau4[[#This Row],[Dépenses]],OJ!E:E,3)</f>
        <v>0</v>
      </c>
      <c r="F38" s="99">
        <f>SUMIFS(OJ!D:D,OJ!B:B,Tableau4[[#This Row],[Dépenses]],OJ!E:E,4)</f>
        <v>0</v>
      </c>
      <c r="G38" s="99">
        <f>SUMIFS(OJ!D:D,OJ!B:B,Tableau4[[#This Row],[Dépenses]],OJ!E:E,5)</f>
        <v>0</v>
      </c>
      <c r="H38" s="99">
        <f>SUMIFS(OJ!D:D,OJ!B:B,Tableau4[[#This Row],[Dépenses]],OJ!E:E,6)</f>
        <v>0</v>
      </c>
      <c r="I38" s="99">
        <f>SUMIFS(OJ!D:D,OJ!B:B,Tableau4[[#This Row],[Dépenses]],OJ!E:E,7)</f>
        <v>0</v>
      </c>
      <c r="J38" s="99">
        <f>SUMIFS(OJ!D:D,OJ!B:B,Tableau4[[#This Row],[Dépenses]],OJ!E:E,8)</f>
        <v>0</v>
      </c>
      <c r="K38" s="99">
        <f>SUMIFS(OJ!D:D,OJ!B:B,Tableau4[[#This Row],[Dépenses]],OJ!E:E,9)</f>
        <v>0</v>
      </c>
      <c r="L38" s="99">
        <f>SUMIFS(OJ!D:D,OJ!B:B,Tableau4[[#This Row],[Dépenses]],OJ!E:E,10)</f>
        <v>0</v>
      </c>
      <c r="M38" s="99">
        <f>SUMIFS(OJ!D:D,OJ!B:B,Tableau4[[#This Row],[Dépenses]],OJ!E:E,11)</f>
        <v>0</v>
      </c>
      <c r="N38" s="99">
        <f>SUMIFS(OJ!D:D,OJ!B:B,Tableau4[[#This Row],[Dépenses]],OJ!E:E,12)</f>
        <v>0</v>
      </c>
      <c r="P38" s="67">
        <f>+SUM(Tableau4[[#This Row],[Janvier]:[Décembre]])</f>
        <v>0</v>
      </c>
    </row>
    <row r="39" spans="2:16" ht="21.75" customHeight="1" x14ac:dyDescent="0.25">
      <c r="B39" s="21" t="str">
        <f>LAUNCHPAD!N4</f>
        <v>Santé</v>
      </c>
      <c r="C39" s="99">
        <f>SUMIFS(OJ!D:D,OJ!B:B,Tableau4[[#This Row],[Dépenses]],OJ!E:E,1)</f>
        <v>0</v>
      </c>
      <c r="D39" s="99">
        <f>SUMIFS(OJ!D:D,OJ!B:B,Tableau4[[#This Row],[Dépenses]],OJ!E:E,2)</f>
        <v>0</v>
      </c>
      <c r="E39" s="99">
        <f>SUMIFS(OJ!D:D,OJ!B:B,Tableau4[[#This Row],[Dépenses]],OJ!E:E,3)</f>
        <v>0</v>
      </c>
      <c r="F39" s="99">
        <f>SUMIFS(OJ!D:D,OJ!B:B,Tableau4[[#This Row],[Dépenses]],OJ!E:E,4)</f>
        <v>0</v>
      </c>
      <c r="G39" s="99">
        <f>SUMIFS(OJ!D:D,OJ!B:B,Tableau4[[#This Row],[Dépenses]],OJ!E:E,5)</f>
        <v>0</v>
      </c>
      <c r="H39" s="99">
        <f>SUMIFS(OJ!D:D,OJ!B:B,Tableau4[[#This Row],[Dépenses]],OJ!E:E,6)</f>
        <v>0</v>
      </c>
      <c r="I39" s="99">
        <f>SUMIFS(OJ!D:D,OJ!B:B,Tableau4[[#This Row],[Dépenses]],OJ!E:E,7)</f>
        <v>0</v>
      </c>
      <c r="J39" s="99">
        <f>SUMIFS(OJ!D:D,OJ!B:B,Tableau4[[#This Row],[Dépenses]],OJ!E:E,8)</f>
        <v>0</v>
      </c>
      <c r="K39" s="99">
        <f>SUMIFS(OJ!D:D,OJ!B:B,Tableau4[[#This Row],[Dépenses]],OJ!E:E,9)</f>
        <v>0</v>
      </c>
      <c r="L39" s="99">
        <f>SUMIFS(OJ!D:D,OJ!B:B,Tableau4[[#This Row],[Dépenses]],OJ!E:E,10)</f>
        <v>0</v>
      </c>
      <c r="M39" s="99">
        <f>SUMIFS(OJ!D:D,OJ!B:B,Tableau4[[#This Row],[Dépenses]],OJ!E:E,11)</f>
        <v>0</v>
      </c>
      <c r="N39" s="99">
        <f>SUMIFS(OJ!D:D,OJ!B:B,Tableau4[[#This Row],[Dépenses]],OJ!E:E,12)</f>
        <v>0</v>
      </c>
      <c r="P39" s="67">
        <f>+SUM(Tableau4[[#This Row],[Janvier]:[Décembre]])</f>
        <v>0</v>
      </c>
    </row>
    <row r="40" spans="2:16" ht="21.75" customHeight="1" x14ac:dyDescent="0.25">
      <c r="B40" s="21" t="str">
        <f>+LAUNCHPAD!O4</f>
        <v>Enfants</v>
      </c>
      <c r="C40" s="99">
        <f>SUMIFS(OJ!D:D,OJ!B:B,Tableau4[[#This Row],[Dépenses]],OJ!E:E,1)</f>
        <v>0</v>
      </c>
      <c r="D40" s="99">
        <f>SUMIFS(OJ!D:D,OJ!B:B,Tableau4[[#This Row],[Dépenses]],OJ!E:E,2)</f>
        <v>0</v>
      </c>
      <c r="E40" s="99">
        <f>SUMIFS(OJ!D:D,OJ!B:B,Tableau4[[#This Row],[Dépenses]],OJ!E:E,3)</f>
        <v>0</v>
      </c>
      <c r="F40" s="99">
        <f>SUMIFS(OJ!D:D,OJ!B:B,Tableau4[[#This Row],[Dépenses]],OJ!E:E,4)</f>
        <v>0</v>
      </c>
      <c r="G40" s="99">
        <f>SUMIFS(OJ!D:D,OJ!B:B,Tableau4[[#This Row],[Dépenses]],OJ!E:E,5)</f>
        <v>0</v>
      </c>
      <c r="H40" s="99">
        <f>SUMIFS(OJ!D:D,OJ!B:B,Tableau4[[#This Row],[Dépenses]],OJ!E:E,6)</f>
        <v>0</v>
      </c>
      <c r="I40" s="99">
        <f>SUMIFS(OJ!D:D,OJ!B:B,Tableau4[[#This Row],[Dépenses]],OJ!E:E,7)</f>
        <v>0</v>
      </c>
      <c r="J40" s="99">
        <f>SUMIFS(OJ!D:D,OJ!B:B,Tableau4[[#This Row],[Dépenses]],OJ!E:E,8)</f>
        <v>0</v>
      </c>
      <c r="K40" s="99">
        <f>SUMIFS(OJ!D:D,OJ!B:B,Tableau4[[#This Row],[Dépenses]],OJ!E:E,9)</f>
        <v>0</v>
      </c>
      <c r="L40" s="99">
        <f>SUMIFS(OJ!D:D,OJ!B:B,Tableau4[[#This Row],[Dépenses]],OJ!E:E,10)</f>
        <v>0</v>
      </c>
      <c r="M40" s="99">
        <f>SUMIFS(OJ!D:D,OJ!B:B,Tableau4[[#This Row],[Dépenses]],OJ!E:E,11)</f>
        <v>0</v>
      </c>
      <c r="N40" s="99">
        <f>SUMIFS(OJ!D:D,OJ!B:B,Tableau4[[#This Row],[Dépenses]],OJ!E:E,12)</f>
        <v>0</v>
      </c>
      <c r="P40" s="78">
        <f>+SUM(Tableau4[[#This Row],[Janvier]:[Décembre]])</f>
        <v>0</v>
      </c>
    </row>
    <row r="41" spans="2:16" ht="21.75" customHeight="1" x14ac:dyDescent="0.25">
      <c r="B41" s="21" t="str">
        <f>+LAUNCHPAD!P4</f>
        <v>Impôts</v>
      </c>
      <c r="C41" s="99">
        <f>SUMIFS(OJ!D:D,OJ!B:B,Tableau4[[#This Row],[Dépenses]],OJ!E:E,1)</f>
        <v>0</v>
      </c>
      <c r="D41" s="99">
        <f>SUMIFS(OJ!D:D,OJ!B:B,Tableau4[[#This Row],[Dépenses]],OJ!E:E,2)</f>
        <v>0</v>
      </c>
      <c r="E41" s="99">
        <f>SUMIFS(OJ!D:D,OJ!B:B,Tableau4[[#This Row],[Dépenses]],OJ!E:E,3)</f>
        <v>0</v>
      </c>
      <c r="F41" s="99">
        <f>SUMIFS(OJ!D:D,OJ!B:B,Tableau4[[#This Row],[Dépenses]],OJ!E:E,4)</f>
        <v>0</v>
      </c>
      <c r="G41" s="99">
        <f>SUMIFS(OJ!D:D,OJ!B:B,Tableau4[[#This Row],[Dépenses]],OJ!E:E,5)</f>
        <v>0</v>
      </c>
      <c r="H41" s="99">
        <f>SUMIFS(OJ!D:D,OJ!B:B,Tableau4[[#This Row],[Dépenses]],OJ!E:E,6)</f>
        <v>0</v>
      </c>
      <c r="I41" s="99">
        <f>SUMIFS(OJ!D:D,OJ!B:B,Tableau4[[#This Row],[Dépenses]],OJ!E:E,7)</f>
        <v>0</v>
      </c>
      <c r="J41" s="99">
        <f>SUMIFS(OJ!D:D,OJ!B:B,Tableau4[[#This Row],[Dépenses]],OJ!E:E,8)</f>
        <v>0</v>
      </c>
      <c r="K41" s="99">
        <f>SUMIFS(OJ!D:D,OJ!B:B,Tableau4[[#This Row],[Dépenses]],OJ!E:E,9)</f>
        <v>0</v>
      </c>
      <c r="L41" s="99">
        <f>SUMIFS(OJ!D:D,OJ!B:B,Tableau4[[#This Row],[Dépenses]],OJ!E:E,10)</f>
        <v>0</v>
      </c>
      <c r="M41" s="99">
        <f>SUMIFS(OJ!D:D,OJ!B:B,Tableau4[[#This Row],[Dépenses]],OJ!E:E,11)</f>
        <v>0</v>
      </c>
      <c r="N41" s="99">
        <f>SUMIFS(OJ!D:D,OJ!B:B,Tableau4[[#This Row],[Dépenses]],OJ!E:E,12)</f>
        <v>0</v>
      </c>
      <c r="P41" s="78">
        <f>+SUM(Tableau4[[#This Row],[Janvier]:[Décembre]])</f>
        <v>0</v>
      </c>
    </row>
    <row r="42" spans="2:16" ht="21.75" customHeight="1" x14ac:dyDescent="0.25">
      <c r="B42" s="21" t="str">
        <f>+LAUNCHPAD!Q4</f>
        <v>Assurances</v>
      </c>
      <c r="C42" s="99">
        <f>SUMIFS(OJ!D:D,OJ!B:B,Tableau4[[#This Row],[Dépenses]],OJ!E:E,1)</f>
        <v>0</v>
      </c>
      <c r="D42" s="99">
        <f>SUMIFS(OJ!D:D,OJ!B:B,Tableau4[[#This Row],[Dépenses]],OJ!E:E,2)</f>
        <v>0</v>
      </c>
      <c r="E42" s="99">
        <f>SUMIFS(OJ!D:D,OJ!B:B,Tableau4[[#This Row],[Dépenses]],OJ!E:E,3)</f>
        <v>0</v>
      </c>
      <c r="F42" s="99">
        <f>SUMIFS(OJ!D:D,OJ!B:B,Tableau4[[#This Row],[Dépenses]],OJ!E:E,4)</f>
        <v>0</v>
      </c>
      <c r="G42" s="99">
        <f>SUMIFS(OJ!D:D,OJ!B:B,Tableau4[[#This Row],[Dépenses]],OJ!E:E,5)</f>
        <v>0</v>
      </c>
      <c r="H42" s="99">
        <f>SUMIFS(OJ!D:D,OJ!B:B,Tableau4[[#This Row],[Dépenses]],OJ!E:E,6)</f>
        <v>0</v>
      </c>
      <c r="I42" s="99">
        <f>SUMIFS(OJ!D:D,OJ!B:B,Tableau4[[#This Row],[Dépenses]],OJ!E:E,7)</f>
        <v>0</v>
      </c>
      <c r="J42" s="99">
        <f>SUMIFS(OJ!D:D,OJ!B:B,Tableau4[[#This Row],[Dépenses]],OJ!E:E,8)</f>
        <v>0</v>
      </c>
      <c r="K42" s="99">
        <f>SUMIFS(OJ!D:D,OJ!B:B,Tableau4[[#This Row],[Dépenses]],OJ!E:E,9)</f>
        <v>0</v>
      </c>
      <c r="L42" s="99">
        <f>SUMIFS(OJ!D:D,OJ!B:B,Tableau4[[#This Row],[Dépenses]],OJ!E:E,10)</f>
        <v>0</v>
      </c>
      <c r="M42" s="99">
        <f>SUMIFS(OJ!D:D,OJ!B:B,Tableau4[[#This Row],[Dépenses]],OJ!E:E,11)</f>
        <v>0</v>
      </c>
      <c r="N42" s="99">
        <f>SUMIFS(OJ!D:D,OJ!B:B,Tableau4[[#This Row],[Dépenses]],OJ!E:E,12)</f>
        <v>0</v>
      </c>
      <c r="P42" s="78">
        <f>+SUM(Tableau4[[#This Row],[Janvier]:[Décembre]])</f>
        <v>0</v>
      </c>
    </row>
    <row r="43" spans="2:16" ht="21.75" customHeight="1" x14ac:dyDescent="0.25">
      <c r="B43" s="21" t="str">
        <f>+LAUNCHPAD!R4</f>
        <v>Prêts</v>
      </c>
      <c r="C43" s="99">
        <f>SUMIFS(OJ!D:D,OJ!B:B,Tableau4[[#This Row],[Dépenses]],OJ!E:E,1)</f>
        <v>0</v>
      </c>
      <c r="D43" s="99">
        <f>SUMIFS(OJ!D:D,OJ!B:B,Tableau4[[#This Row],[Dépenses]],OJ!E:E,2)</f>
        <v>300</v>
      </c>
      <c r="E43" s="99">
        <f>SUMIFS(OJ!D:D,OJ!B:B,Tableau4[[#This Row],[Dépenses]],OJ!E:E,3)</f>
        <v>0</v>
      </c>
      <c r="F43" s="99">
        <f>SUMIFS(OJ!D:D,OJ!B:B,Tableau4[[#This Row],[Dépenses]],OJ!E:E,4)</f>
        <v>0</v>
      </c>
      <c r="G43" s="99">
        <f>SUMIFS(OJ!D:D,OJ!B:B,Tableau4[[#This Row],[Dépenses]],OJ!E:E,5)</f>
        <v>0</v>
      </c>
      <c r="H43" s="99">
        <f>SUMIFS(OJ!D:D,OJ!B:B,Tableau4[[#This Row],[Dépenses]],OJ!E:E,6)</f>
        <v>0</v>
      </c>
      <c r="I43" s="99">
        <f>SUMIFS(OJ!D:D,OJ!B:B,Tableau4[[#This Row],[Dépenses]],OJ!E:E,7)</f>
        <v>0</v>
      </c>
      <c r="J43" s="99">
        <f>SUMIFS(OJ!D:D,OJ!B:B,Tableau4[[#This Row],[Dépenses]],OJ!E:E,8)</f>
        <v>0</v>
      </c>
      <c r="K43" s="99">
        <f>SUMIFS(OJ!D:D,OJ!B:B,Tableau4[[#This Row],[Dépenses]],OJ!E:E,9)</f>
        <v>0</v>
      </c>
      <c r="L43" s="99">
        <f>SUMIFS(OJ!D:D,OJ!B:B,Tableau4[[#This Row],[Dépenses]],OJ!E:E,10)</f>
        <v>0</v>
      </c>
      <c r="M43" s="99">
        <f>SUMIFS(OJ!D:D,OJ!B:B,Tableau4[[#This Row],[Dépenses]],OJ!E:E,11)</f>
        <v>0</v>
      </c>
      <c r="N43" s="99">
        <f>SUMIFS(OJ!D:D,OJ!B:B,Tableau4[[#This Row],[Dépenses]],OJ!E:E,12)</f>
        <v>0</v>
      </c>
      <c r="P43" s="78">
        <f>+SUM(Tableau4[[#This Row],[Janvier]:[Décembre]])</f>
        <v>300</v>
      </c>
    </row>
    <row r="44" spans="2:16" ht="25.5" customHeight="1" x14ac:dyDescent="0.25">
      <c r="B44" s="21" t="str">
        <f>LAUNCHPAD!S4</f>
        <v>Autres</v>
      </c>
      <c r="C44" s="99">
        <f>SUMIFS(OJ!D:D,OJ!B:B,Tableau4[[#This Row],[Dépenses]],OJ!E:E,1)</f>
        <v>0</v>
      </c>
      <c r="D44" s="99">
        <f>SUMIFS(OJ!D:D,OJ!B:B,Tableau4[[#This Row],[Dépenses]],OJ!E:E,2)</f>
        <v>0</v>
      </c>
      <c r="E44" s="99">
        <f>SUMIFS(OJ!D:D,OJ!B:B,Tableau4[[#This Row],[Dépenses]],OJ!E:E,3)</f>
        <v>0</v>
      </c>
      <c r="F44" s="99">
        <f>SUMIFS(OJ!D:D,OJ!B:B,Tableau4[[#This Row],[Dépenses]],OJ!E:E,4)</f>
        <v>0</v>
      </c>
      <c r="G44" s="99">
        <f>SUMIFS(OJ!D:D,OJ!B:B,Tableau4[[#This Row],[Dépenses]],OJ!E:E,5)</f>
        <v>0</v>
      </c>
      <c r="H44" s="99">
        <f>SUMIFS(OJ!D:D,OJ!B:B,Tableau4[[#This Row],[Dépenses]],OJ!E:E,6)</f>
        <v>0</v>
      </c>
      <c r="I44" s="99">
        <f>SUMIFS(OJ!D:D,OJ!B:B,Tableau4[[#This Row],[Dépenses]],OJ!E:E,7)</f>
        <v>0</v>
      </c>
      <c r="J44" s="99">
        <f>SUMIFS(OJ!D:D,OJ!B:B,Tableau4[[#This Row],[Dépenses]],OJ!E:E,8)</f>
        <v>0</v>
      </c>
      <c r="K44" s="99">
        <f>SUMIFS(OJ!D:D,OJ!B:B,Tableau4[[#This Row],[Dépenses]],OJ!E:E,9)</f>
        <v>0</v>
      </c>
      <c r="L44" s="99">
        <f>SUMIFS(OJ!D:D,OJ!B:B,Tableau4[[#This Row],[Dépenses]],OJ!E:E,10)</f>
        <v>0</v>
      </c>
      <c r="M44" s="99">
        <f>SUMIFS(OJ!D:D,OJ!B:B,Tableau4[[#This Row],[Dépenses]],OJ!E:E,11)</f>
        <v>0</v>
      </c>
      <c r="N44" s="99">
        <f>SUMIFS(OJ!D:D,OJ!B:B,Tableau4[[#This Row],[Dépenses]],OJ!E:E,12)</f>
        <v>0</v>
      </c>
      <c r="P44" s="67">
        <f>+SUM(Tableau4[[#This Row],[Janvier]:[Décembre]])</f>
        <v>0</v>
      </c>
    </row>
    <row r="45" spans="2:16" ht="19.5" customHeight="1" x14ac:dyDescent="0.25">
      <c r="B45" s="63" t="s">
        <v>52</v>
      </c>
      <c r="C45" s="71">
        <f>SUBTOTAL(109,Tableau4[Janvier])</f>
        <v>5700</v>
      </c>
      <c r="D45" s="71">
        <f>SUBTOTAL(109,Tableau4[Février])</f>
        <v>6300</v>
      </c>
      <c r="E45" s="71">
        <f>SUBTOTAL(109,Tableau4[Mars])</f>
        <v>0</v>
      </c>
      <c r="F45" s="71">
        <f>SUBTOTAL(109,Tableau4[Avril])</f>
        <v>0</v>
      </c>
      <c r="G45" s="71">
        <f>SUBTOTAL(109,Tableau4[Mai])</f>
        <v>0</v>
      </c>
      <c r="H45" s="71">
        <f>SUBTOTAL(109,Tableau4[Juin])</f>
        <v>0</v>
      </c>
      <c r="I45" s="71">
        <f>SUBTOTAL(109,Tableau4[Juillet])</f>
        <v>0</v>
      </c>
      <c r="J45" s="71">
        <f>SUBTOTAL(109,Tableau4[Août])</f>
        <v>0</v>
      </c>
      <c r="K45" s="71">
        <f>SUBTOTAL(109,Tableau4[Septembre])</f>
        <v>0</v>
      </c>
      <c r="L45" s="71">
        <f>SUBTOTAL(109,Tableau4[Octobre])</f>
        <v>0</v>
      </c>
      <c r="M45" s="71">
        <f>SUBTOTAL(109,Tableau4[Novembre])</f>
        <v>0</v>
      </c>
      <c r="N45" s="71">
        <f>SUBTOTAL(109,Tableau4[Décembre])</f>
        <v>0</v>
      </c>
      <c r="O45" s="63"/>
      <c r="P45" s="96">
        <f>SUBTOTAL(109,Tableau4[TOTAL])</f>
        <v>12000</v>
      </c>
    </row>
  </sheetData>
  <sheetProtection password="C85C" sheet="1" objects="1" scenarios="1"/>
  <pageMargins left="0.7" right="0.7" top="0.75" bottom="0.75" header="0.3" footer="0.3"/>
  <pageSetup paperSize="9" orientation="portrait" r:id="rId1"/>
  <ignoredErrors>
    <ignoredError sqref="P22" calculatedColumn="1"/>
  </ignoredErrors>
  <drawing r:id="rId2"/>
  <tableParts count="4">
    <tablePart r:id="rId3"/>
    <tablePart r:id="rId4"/>
    <tablePart r:id="rId5"/>
    <tablePart r:id="rId6"/>
  </tableParts>
  <extLst>
    <ext xmlns:x14="http://schemas.microsoft.com/office/spreadsheetml/2009/9/main" uri="{05C60535-1F16-4fd2-B633-F4F36F0B64E0}">
      <x14:sparklineGroups xmlns:xm="http://schemas.microsoft.com/office/excel/2006/main">
        <x14:sparklineGroup manualMax="0" manualMin="0" displayEmptyCellsAs="gap" xr2:uid="{00000000-0003-0000-0100-000005000000}">
          <x14:colorSeries rgb="FF376092"/>
          <x14:colorNegative rgb="FFD00000"/>
          <x14:colorAxis rgb="FF000000"/>
          <x14:colorMarkers rgb="FFD00000"/>
          <x14:colorFirst rgb="FFD00000"/>
          <x14:colorLast rgb="FFD00000"/>
          <x14:colorHigh rgb="FFD00000"/>
          <x14:colorLow rgb="FFD00000"/>
          <x14:sparklines>
            <x14:sparkline>
              <xm:f>'TB ANNUEL'!C16:N16</xm:f>
              <xm:sqref>O16</xm:sqref>
            </x14:sparkline>
            <x14:sparkline>
              <xm:f>'TB ANNUEL'!C17:N17</xm:f>
              <xm:sqref>O17</xm:sqref>
            </x14:sparkline>
            <x14:sparkline>
              <xm:f>'TB ANNUEL'!C18:N18</xm:f>
              <xm:sqref>O18</xm:sqref>
            </x14:sparkline>
            <x14:sparkline>
              <xm:f>'TB ANNUEL'!C19:N19</xm:f>
              <xm:sqref>O19</xm:sqref>
            </x14:sparkline>
            <x14:sparkline>
              <xm:f>'TB ANNUEL'!C20:N20</xm:f>
              <xm:sqref>O20</xm:sqref>
            </x14:sparkline>
            <x14:sparkline>
              <xm:f>'TB ANNUEL'!C21:N21</xm:f>
              <xm:sqref>O21</xm:sqref>
            </x14:sparkline>
            <x14:sparkline>
              <xm:f>'TB ANNUEL'!C22:N22</xm:f>
              <xm:sqref>O22</xm:sqref>
            </x14:sparkline>
          </x14:sparklines>
        </x14:sparklineGroup>
        <x14:sparklineGroup type="column" displayEmptyCellsAs="gap" high="1" low="1" xr2:uid="{00000000-0003-0000-0100-000004000000}">
          <x14:colorSeries rgb="FF376092"/>
          <x14:colorNegative rgb="FFD00000"/>
          <x14:colorAxis rgb="FF000000"/>
          <x14:colorMarkers rgb="FFD00000"/>
          <x14:colorFirst rgb="FFD00000"/>
          <x14:colorLast rgb="FFD00000"/>
          <x14:colorHigh theme="9"/>
          <x14:colorLow rgb="FFFF0000"/>
          <x14:sparklines>
            <x14:sparkline>
              <xm:f>'TB ANNUEL'!C45:N45</xm:f>
              <xm:sqref>O45</xm:sqref>
            </x14:sparkline>
          </x14:sparklines>
        </x14:sparklineGroup>
        <x14:sparklineGroup manualMax="0" manualMin="0" displayEmptyCellsAs="gap" xr2:uid="{00000000-0003-0000-0100-000003000000}">
          <x14:colorSeries theme="5"/>
          <x14:colorNegative theme="6"/>
          <x14:colorAxis rgb="FF000000"/>
          <x14:colorMarkers theme="5" tint="-0.249977111117893"/>
          <x14:colorFirst theme="5" tint="-0.249977111117893"/>
          <x14:colorLast theme="5" tint="-0.249977111117893"/>
          <x14:colorHigh theme="5" tint="-0.249977111117893"/>
          <x14:colorLow theme="5" tint="-0.249977111117893"/>
          <x14:sparklines>
            <x14:sparkline>
              <xm:f>'TB ANNUEL'!C27:N27</xm:f>
              <xm:sqref>O27</xm:sqref>
            </x14:sparkline>
            <x14:sparkline>
              <xm:f>'TB ANNUEL'!C28:N28</xm:f>
              <xm:sqref>O28</xm:sqref>
            </x14:sparkline>
            <x14:sparkline>
              <xm:f>'TB ANNUEL'!C29:N29</xm:f>
              <xm:sqref>O29</xm:sqref>
            </x14:sparkline>
            <x14:sparkline>
              <xm:f>'TB ANNUEL'!C30:N30</xm:f>
              <xm:sqref>O30</xm:sqref>
            </x14:sparkline>
            <x14:sparkline>
              <xm:f>'TB ANNUEL'!C31:N31</xm:f>
              <xm:sqref>O31</xm:sqref>
            </x14:sparkline>
            <x14:sparkline>
              <xm:f>'TB ANNUEL'!C32:N32</xm:f>
              <xm:sqref>O32</xm:sqref>
            </x14:sparkline>
            <x14:sparkline>
              <xm:f>'TB ANNUEL'!C33:N33</xm:f>
              <xm:sqref>O33</xm:sqref>
            </x14:sparkline>
            <x14:sparkline>
              <xm:f>'TB ANNUEL'!C34:N34</xm:f>
              <xm:sqref>O34</xm:sqref>
            </x14:sparkline>
            <x14:sparkline>
              <xm:f>'TB ANNUEL'!C35:N35</xm:f>
              <xm:sqref>O35</xm:sqref>
            </x14:sparkline>
            <x14:sparkline>
              <xm:f>'TB ANNUEL'!C36:N36</xm:f>
              <xm:sqref>O36</xm:sqref>
            </x14:sparkline>
            <x14:sparkline>
              <xm:f>'TB ANNUEL'!C37:N37</xm:f>
              <xm:sqref>O37</xm:sqref>
            </x14:sparkline>
            <x14:sparkline>
              <xm:f>'TB ANNUEL'!C38:N38</xm:f>
              <xm:sqref>O38</xm:sqref>
            </x14:sparkline>
            <x14:sparkline>
              <xm:f>'TB ANNUEL'!C39:N39</xm:f>
              <xm:sqref>O39</xm:sqref>
            </x14:sparkline>
            <x14:sparkline>
              <xm:f>'TB ANNUEL'!C40:N40</xm:f>
              <xm:sqref>O40</xm:sqref>
            </x14:sparkline>
            <x14:sparkline>
              <xm:f>'TB ANNUEL'!C41:N41</xm:f>
              <xm:sqref>O41</xm:sqref>
            </x14:sparkline>
            <x14:sparkline>
              <xm:f>'TB ANNUEL'!C42:N42</xm:f>
              <xm:sqref>O42</xm:sqref>
            </x14:sparkline>
            <x14:sparkline>
              <xm:f>'TB ANNUEL'!C43:N43</xm:f>
              <xm:sqref>O43</xm:sqref>
            </x14:sparkline>
            <x14:sparkline>
              <xm:f>'TB ANNUEL'!C44:N44</xm:f>
              <xm:sqref>O44</xm:sqref>
            </x14:sparkline>
          </x14:sparklines>
        </x14:sparklineGroup>
        <x14:sparklineGroup type="column" displayEmptyCellsAs="gap" high="1" low="1" xr2:uid="{00000000-0003-0000-0100-000002000000}">
          <x14:colorSeries rgb="FF376092"/>
          <x14:colorNegative rgb="FFD00000"/>
          <x14:colorAxis rgb="FF000000"/>
          <x14:colorMarkers rgb="FFD00000"/>
          <x14:colorFirst rgb="FFD00000"/>
          <x14:colorLast rgb="FFD00000"/>
          <x14:colorHigh theme="9"/>
          <x14:colorLow rgb="FFFF0000"/>
          <x14:sparklines>
            <x14:sparkline>
              <xm:f>'TB ANNUEL'!C23:N23</xm:f>
              <xm:sqref>O23</xm:sqref>
            </x14:sparkline>
          </x14:sparklines>
        </x14:sparklineGroup>
        <x14:sparklineGroup manualMax="0" manualMin="0" type="column" displayEmptyCellsAs="gap" high="1" low="1" xr2:uid="{00000000-0003-0000-0100-000001000000}">
          <x14:colorSeries theme="8"/>
          <x14:colorNegative theme="9"/>
          <x14:colorAxis rgb="FF000000"/>
          <x14:colorMarkers theme="8" tint="-0.249977111117893"/>
          <x14:colorFirst theme="8" tint="-0.249977111117893"/>
          <x14:colorLast theme="8" tint="-0.249977111117893"/>
          <x14:colorHigh theme="9"/>
          <x14:colorLow rgb="FFFF0000"/>
          <x14:sparklines>
            <x14:sparkline>
              <xm:f>'TB ANNUEL'!C8:N8</xm:f>
              <xm:sqref>O8</xm:sqref>
            </x14:sparkline>
          </x14:sparklines>
        </x14:sparklineGroup>
        <x14:sparklineGroup displayEmptyCellsAs="gap" xr2:uid="{00000000-0003-0000-0100-000000000000}">
          <x14:colorSeries rgb="FF376092"/>
          <x14:colorNegative rgb="FFD00000"/>
          <x14:colorAxis rgb="FF000000"/>
          <x14:colorMarkers rgb="FFD00000"/>
          <x14:colorFirst rgb="FFD00000"/>
          <x14:colorLast rgb="FFD00000"/>
          <x14:colorHigh rgb="FFD00000"/>
          <x14:colorLow rgb="FFD00000"/>
          <x14:sparklines>
            <x14:sparkline>
              <xm:f>'TB ANNUEL'!C12:N12</xm:f>
              <xm:sqref>O12</xm:sqref>
            </x14:sparkline>
          </x14:sparklines>
        </x14:sparklineGroup>
      </x14:sparklineGroup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2"/>
  <dimension ref="C2:O8"/>
  <sheetViews>
    <sheetView workbookViewId="0">
      <selection activeCell="H16" sqref="H16"/>
    </sheetView>
  </sheetViews>
  <sheetFormatPr baseColWidth="10" defaultColWidth="11.42578125" defaultRowHeight="15" x14ac:dyDescent="0.25"/>
  <sheetData>
    <row r="2" spans="3:15" x14ac:dyDescent="0.25">
      <c r="C2" s="87">
        <f ca="1">TODAY()</f>
        <v>44645</v>
      </c>
      <c r="D2" s="30">
        <f ca="1">MONTH(C2)</f>
        <v>3</v>
      </c>
    </row>
    <row r="5" spans="3:15" x14ac:dyDescent="0.25">
      <c r="C5" s="30" t="s">
        <v>115</v>
      </c>
      <c r="D5" s="30" t="s">
        <v>116</v>
      </c>
      <c r="E5" s="30" t="s">
        <v>117</v>
      </c>
      <c r="F5" s="30" t="s">
        <v>118</v>
      </c>
      <c r="G5" s="30" t="s">
        <v>119</v>
      </c>
      <c r="H5" s="30" t="s">
        <v>120</v>
      </c>
      <c r="I5" s="30" t="s">
        <v>121</v>
      </c>
      <c r="J5" s="30" t="s">
        <v>122</v>
      </c>
      <c r="K5" s="30" t="s">
        <v>123</v>
      </c>
      <c r="L5" s="30" t="s">
        <v>124</v>
      </c>
      <c r="M5" s="30" t="s">
        <v>125</v>
      </c>
      <c r="N5" s="30" t="s">
        <v>126</v>
      </c>
    </row>
    <row r="6" spans="3:15" x14ac:dyDescent="0.25">
      <c r="C6" s="30">
        <v>0</v>
      </c>
      <c r="D6" s="30">
        <v>1</v>
      </c>
      <c r="E6" s="30">
        <v>2</v>
      </c>
      <c r="F6" s="30">
        <v>3</v>
      </c>
      <c r="G6" s="30">
        <v>4</v>
      </c>
      <c r="H6" s="30">
        <v>5</v>
      </c>
      <c r="I6" s="30">
        <v>6</v>
      </c>
      <c r="J6" s="30">
        <v>7</v>
      </c>
      <c r="K6" s="30">
        <v>8</v>
      </c>
      <c r="L6" s="30">
        <v>9</v>
      </c>
      <c r="M6" s="30">
        <v>10</v>
      </c>
      <c r="N6" s="30">
        <v>11</v>
      </c>
    </row>
    <row r="7" spans="3:15" x14ac:dyDescent="0.25">
      <c r="C7" s="52">
        <f>'TB ANNUEL'!C22</f>
        <v>0</v>
      </c>
      <c r="D7" s="52">
        <f>'TB ANNUEL'!D22</f>
        <v>300</v>
      </c>
      <c r="E7" s="52">
        <f>'TB ANNUEL'!E22</f>
        <v>0</v>
      </c>
      <c r="F7" s="52">
        <f>'TB ANNUEL'!F22</f>
        <v>0</v>
      </c>
      <c r="G7" s="52">
        <f>'TB ANNUEL'!G22</f>
        <v>0</v>
      </c>
      <c r="H7" s="52">
        <f>'TB ANNUEL'!H22</f>
        <v>0</v>
      </c>
      <c r="I7" s="52">
        <f>'TB ANNUEL'!I22</f>
        <v>0</v>
      </c>
      <c r="J7" s="52">
        <f>'TB ANNUEL'!J22</f>
        <v>0</v>
      </c>
      <c r="K7" s="52">
        <f>'TB ANNUEL'!K22</f>
        <v>0</v>
      </c>
      <c r="L7" s="52">
        <f>'TB ANNUEL'!L22</f>
        <v>0</v>
      </c>
      <c r="M7" s="52">
        <f>'TB ANNUEL'!M22</f>
        <v>0</v>
      </c>
      <c r="N7" s="52">
        <f>'TB ANNUEL'!N22</f>
        <v>0</v>
      </c>
    </row>
    <row r="8" spans="3:15" x14ac:dyDescent="0.25">
      <c r="C8" s="30">
        <f ca="1">IF(C6&lt;=$D$2,C7,0)</f>
        <v>0</v>
      </c>
      <c r="D8" s="30">
        <f ca="1">IF(D6&lt;=$D$2,D7,0)</f>
        <v>300</v>
      </c>
      <c r="E8" s="30">
        <f t="shared" ref="E8:N8" ca="1" si="0">IF(E6&lt;=$D$2,E7,0)</f>
        <v>0</v>
      </c>
      <c r="F8" s="30">
        <f t="shared" ca="1" si="0"/>
        <v>0</v>
      </c>
      <c r="G8" s="30">
        <f t="shared" ca="1" si="0"/>
        <v>0</v>
      </c>
      <c r="H8" s="30">
        <f t="shared" ca="1" si="0"/>
        <v>0</v>
      </c>
      <c r="I8" s="30">
        <f t="shared" ca="1" si="0"/>
        <v>0</v>
      </c>
      <c r="J8" s="30">
        <f t="shared" ca="1" si="0"/>
        <v>0</v>
      </c>
      <c r="K8" s="30">
        <f t="shared" ca="1" si="0"/>
        <v>0</v>
      </c>
      <c r="L8" s="30">
        <f t="shared" ca="1" si="0"/>
        <v>0</v>
      </c>
      <c r="M8" s="30">
        <f t="shared" ca="1" si="0"/>
        <v>0</v>
      </c>
      <c r="N8" s="30">
        <f t="shared" ca="1" si="0"/>
        <v>0</v>
      </c>
      <c r="O8" s="88">
        <f ca="1">SUM(C8:N8)</f>
        <v>300</v>
      </c>
    </row>
  </sheetData>
  <sheetProtection algorithmName="SHA-512" hashValue="IQblwUiQp80CaBNWrJGZt3cnotAGaV3jDN5YjRMcriJO+4sFWIX0EELJiWyaVPWxK0EvYrT9ExpXVt2RgfOjgg==" saltValue="CAav3vTmTksTrgo+y0nNGA==" spinCount="100000" sheet="1" objects="1" scenarios="1"/>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P35"/>
  <sheetViews>
    <sheetView zoomScale="71" zoomScaleNormal="71" workbookViewId="0">
      <pane xSplit="17" ySplit="36" topLeftCell="R37" activePane="bottomRight" state="frozen"/>
      <selection pane="topRight" activeCell="R1" sqref="R1"/>
      <selection pane="bottomLeft" activeCell="A37" sqref="A37"/>
      <selection pane="bottomRight"/>
    </sheetView>
  </sheetViews>
  <sheetFormatPr baseColWidth="10" defaultColWidth="11.42578125" defaultRowHeight="15" x14ac:dyDescent="0.25"/>
  <cols>
    <col min="1" max="1" width="2.5703125" style="1" customWidth="1"/>
    <col min="2" max="2" width="35.85546875" style="1" customWidth="1"/>
    <col min="3" max="3" width="35.7109375" style="1" customWidth="1"/>
    <col min="4" max="7" width="4.42578125" style="1" customWidth="1"/>
    <col min="8" max="8" width="54.5703125" style="1" customWidth="1"/>
    <col min="9" max="9" width="8" style="1" customWidth="1"/>
    <col min="10" max="10" width="26.7109375" style="1" customWidth="1"/>
    <col min="11" max="11" width="5" style="1" customWidth="1"/>
    <col min="12" max="14" width="4.7109375" style="1" customWidth="1"/>
    <col min="15" max="15" width="24.42578125" style="1" customWidth="1"/>
    <col min="16" max="16" width="24.85546875" style="1" customWidth="1"/>
    <col min="17" max="16384" width="11.42578125" style="1"/>
  </cols>
  <sheetData>
    <row r="1" spans="1:16" ht="8.25" customHeight="1" x14ac:dyDescent="0.25"/>
    <row r="2" spans="1:16" s="15" customFormat="1" ht="30.75" customHeight="1" x14ac:dyDescent="0.5">
      <c r="A2" s="14"/>
      <c r="B2" s="19" t="s">
        <v>42</v>
      </c>
    </row>
    <row r="3" spans="1:16" ht="10.5" customHeight="1" thickBot="1" x14ac:dyDescent="0.3"/>
    <row r="4" spans="1:16" ht="20.25" customHeight="1" thickBot="1" x14ac:dyDescent="0.55000000000000004">
      <c r="B4" s="16" t="s">
        <v>43</v>
      </c>
      <c r="C4" s="62" t="s">
        <v>20</v>
      </c>
      <c r="D4" s="41">
        <f>IF(C4=LAUNCHPAD!C17,LAUNCHPAD!C16,IF(C4=LAUNCHPAD!D17,LAUNCHPAD!D16,IF(C4=LAUNCHPAD!E17,LAUNCHPAD!E16,IF(C4=LAUNCHPAD!F17,LAUNCHPAD!F16,IF(C4=LAUNCHPAD!G17,LAUNCHPAD!G16,IF(C4=LAUNCHPAD!H17,LAUNCHPAD!H16,IF(C4=LAUNCHPAD!I17,LAUNCHPAD!I16,IF(C4=LAUNCHPAD!J17,LAUNCHPAD!J16,IF(C4=LAUNCHPAD!K17,LAUNCHPAD!K16,IF(C4=LAUNCHPAD!L17,LAUNCHPAD!L16,IF(C4=LAUNCHPAD!M17,LAUNCHPAD!M16,LAUNCHPAD!N16)))))))))))</f>
        <v>1</v>
      </c>
      <c r="E4" s="41"/>
      <c r="F4" s="41"/>
      <c r="G4" s="41"/>
      <c r="H4" s="47" t="str">
        <f>CONCATENATE("Pourcentage Dépenses du Mois de ",C4)</f>
        <v>Pourcentage Dépenses du Mois de Janvier</v>
      </c>
      <c r="I4" s="47"/>
      <c r="J4" s="51">
        <f>C35/Tableau6[[#Totals],[Colonne2]]</f>
        <v>0.71250000000000002</v>
      </c>
      <c r="K4" s="45"/>
    </row>
    <row r="5" spans="1:16" ht="11.25" customHeight="1" x14ac:dyDescent="0.25"/>
    <row r="6" spans="1:16" ht="21.75" customHeight="1" x14ac:dyDescent="0.55000000000000004">
      <c r="B6" s="31" t="s">
        <v>49</v>
      </c>
      <c r="C6" s="26" t="s">
        <v>74</v>
      </c>
      <c r="H6" s="32" t="str">
        <f>CONCATENATE("Epargne du mois de ",C4)</f>
        <v>Epargne du mois de Janvier</v>
      </c>
      <c r="I6" s="32"/>
      <c r="J6" s="32">
        <f>HLOOKUP(D4,LAUNCHPAD!B26:N28,3,FALSE)</f>
        <v>2000</v>
      </c>
      <c r="K6" s="32"/>
      <c r="L6" s="32"/>
      <c r="M6" s="33"/>
      <c r="N6" s="33"/>
      <c r="O6" s="46" t="s">
        <v>77</v>
      </c>
      <c r="P6" s="37">
        <f>Tableau6[[#Totals],[Colonne2]]-J6-C35</f>
        <v>300</v>
      </c>
    </row>
    <row r="7" spans="1:16" ht="21" customHeight="1" x14ac:dyDescent="0.25">
      <c r="B7" s="27" t="str">
        <f>LAUNCHPAD!B18</f>
        <v>Salaires</v>
      </c>
      <c r="C7" s="36">
        <f>HLOOKUP(D4,LAUNCHPAD!B16:N25,3)</f>
        <v>8000</v>
      </c>
    </row>
    <row r="8" spans="1:16" x14ac:dyDescent="0.25">
      <c r="B8" s="27" t="str">
        <f>LAUNCHPAD!B19</f>
        <v>Aides Financières</v>
      </c>
      <c r="C8" s="36">
        <f>HLOOKUP(D4,LAUNCHPAD!B16:N25,4)</f>
        <v>0</v>
      </c>
    </row>
    <row r="9" spans="1:16" ht="13.5" customHeight="1" x14ac:dyDescent="0.25">
      <c r="B9" s="27" t="str">
        <f>LAUNCHPAD!B20</f>
        <v>Cadeaux</v>
      </c>
      <c r="C9" s="36">
        <f>HLOOKUP(D4,LAUNCHPAD!B16:N25,5)</f>
        <v>0</v>
      </c>
    </row>
    <row r="10" spans="1:16" ht="15.75" customHeight="1" x14ac:dyDescent="0.25">
      <c r="B10" s="27" t="str">
        <f>LAUNCHPAD!B21</f>
        <v>Retour d'investissement</v>
      </c>
      <c r="C10" s="36">
        <f>HLOOKUP(D4,LAUNCHPAD!B16:N25,6)</f>
        <v>0</v>
      </c>
    </row>
    <row r="11" spans="1:16" x14ac:dyDescent="0.25">
      <c r="B11" s="27" t="str">
        <f>LAUNCHPAD!B22</f>
        <v>Intérêts/Dividendes</v>
      </c>
      <c r="C11" s="36">
        <f>HLOOKUP(D4,LAUNCHPAD!B16:N25,7)</f>
        <v>0</v>
      </c>
    </row>
    <row r="12" spans="1:16" x14ac:dyDescent="0.25">
      <c r="B12" s="27" t="str">
        <f>LAUNCHPAD!B23</f>
        <v>Divers</v>
      </c>
      <c r="C12" s="36">
        <f>HLOOKUP(D4,LAUNCHPAD!B16:N25,8)</f>
        <v>0</v>
      </c>
    </row>
    <row r="13" spans="1:16" x14ac:dyDescent="0.25">
      <c r="B13" s="27" t="str">
        <f>LAUNCHPAD!B24</f>
        <v>Flux de Trésrerie M-1</v>
      </c>
      <c r="C13" s="48">
        <f>HLOOKUP(D4,LAUNCHPAD!B16:N25,9)</f>
        <v>0</v>
      </c>
    </row>
    <row r="14" spans="1:16" x14ac:dyDescent="0.25">
      <c r="B14" s="49" t="s">
        <v>52</v>
      </c>
      <c r="C14" s="50">
        <f>SUBTOTAL(109,Tableau6[Colonne2])</f>
        <v>8000</v>
      </c>
    </row>
    <row r="15" spans="1:16" ht="9.75" customHeight="1" x14ac:dyDescent="0.25"/>
    <row r="16" spans="1:16" ht="21" customHeight="1" x14ac:dyDescent="0.5">
      <c r="B16" s="35" t="s">
        <v>50</v>
      </c>
      <c r="C16" s="26" t="s">
        <v>53</v>
      </c>
    </row>
    <row r="17" spans="2:3" x14ac:dyDescent="0.25">
      <c r="B17" s="27" t="s">
        <v>67</v>
      </c>
      <c r="C17" s="36">
        <f>SUMIFS(OJ!D:D,OJ!E:E,$D$4,OJ!B:B,Tableau7[[#This Row],[Dépenses]])</f>
        <v>2300</v>
      </c>
    </row>
    <row r="18" spans="2:3" x14ac:dyDescent="0.25">
      <c r="B18" s="27" t="s">
        <v>90</v>
      </c>
      <c r="C18" s="36">
        <f>SUMIFS(OJ!D:D,OJ!E:E,$D$4,OJ!B:B,Tableau7[[#This Row],[Dépenses]])</f>
        <v>250</v>
      </c>
    </row>
    <row r="19" spans="2:3" x14ac:dyDescent="0.25">
      <c r="B19" s="27" t="s">
        <v>1</v>
      </c>
      <c r="C19" s="36">
        <f>SUMIFS(OJ!D:D,OJ!E:E,$D$4,OJ!B:B,Tableau7[[#This Row],[Dépenses]])</f>
        <v>700</v>
      </c>
    </row>
    <row r="20" spans="2:3" x14ac:dyDescent="0.25">
      <c r="B20" s="27" t="s">
        <v>2</v>
      </c>
      <c r="C20" s="36">
        <f>SUMIFS(OJ!D:D,OJ!E:E,$D$4,OJ!B:B,Tableau7[[#This Row],[Dépenses]])</f>
        <v>300</v>
      </c>
    </row>
    <row r="21" spans="2:3" x14ac:dyDescent="0.25">
      <c r="B21" s="27" t="s">
        <v>41</v>
      </c>
      <c r="C21" s="36">
        <f>SUMIFS(OJ!D:D,OJ!E:E,$D$4,OJ!B:B,Tableau7[[#This Row],[Dépenses]])</f>
        <v>500</v>
      </c>
    </row>
    <row r="22" spans="2:3" x14ac:dyDescent="0.25">
      <c r="B22" s="27" t="s">
        <v>3</v>
      </c>
      <c r="C22" s="36">
        <f>SUMIFS(OJ!D:D,OJ!E:E,$D$4,OJ!B:B,Tableau7[[#This Row],[Dépenses]])</f>
        <v>0</v>
      </c>
    </row>
    <row r="23" spans="2:3" x14ac:dyDescent="0.25">
      <c r="B23" s="27" t="s">
        <v>4</v>
      </c>
      <c r="C23" s="36">
        <f>SUMIFS(OJ!D:D,OJ!E:E,$D$4,OJ!B:B,Tableau7[[#This Row],[Dépenses]])</f>
        <v>0</v>
      </c>
    </row>
    <row r="24" spans="2:3" x14ac:dyDescent="0.25">
      <c r="B24" s="27" t="s">
        <v>5</v>
      </c>
      <c r="C24" s="36">
        <f>SUMIFS(OJ!D:D,OJ!E:E,$D$4,OJ!B:B,Tableau7[[#This Row],[Dépenses]])</f>
        <v>1450</v>
      </c>
    </row>
    <row r="25" spans="2:3" x14ac:dyDescent="0.25">
      <c r="B25" s="27" t="s">
        <v>6</v>
      </c>
      <c r="C25" s="36">
        <f>SUMIFS(OJ!D:D,OJ!E:E,$D$4,OJ!B:B,Tableau7[[#This Row],[Dépenses]])</f>
        <v>200</v>
      </c>
    </row>
    <row r="26" spans="2:3" x14ac:dyDescent="0.25">
      <c r="B26" s="27" t="s">
        <v>7</v>
      </c>
      <c r="C26" s="36">
        <f>SUMIFS(OJ!D:D,OJ!E:E,$D$4,OJ!B:B,Tableau7[[#This Row],[Dépenses]])</f>
        <v>0</v>
      </c>
    </row>
    <row r="27" spans="2:3" x14ac:dyDescent="0.25">
      <c r="B27" s="27" t="s">
        <v>8</v>
      </c>
      <c r="C27" s="36">
        <f>SUMIFS(OJ!D:D,OJ!E:E,$D$4,OJ!B:B,Tableau7[[#This Row],[Dépenses]])</f>
        <v>0</v>
      </c>
    </row>
    <row r="28" spans="2:3" x14ac:dyDescent="0.25">
      <c r="B28" s="27" t="s">
        <v>9</v>
      </c>
      <c r="C28" s="36">
        <f>SUMIFS(OJ!D:D,OJ!E:E,$D$4,OJ!B:B,Tableau7[[#This Row],[Dépenses]])</f>
        <v>0</v>
      </c>
    </row>
    <row r="29" spans="2:3" x14ac:dyDescent="0.25">
      <c r="B29" s="27" t="s">
        <v>56</v>
      </c>
      <c r="C29" s="36">
        <f>SUMIFS(OJ!D:D,OJ!E:E,$D$4,OJ!B:B,Tableau7[[#This Row],[Dépenses]])</f>
        <v>0</v>
      </c>
    </row>
    <row r="30" spans="2:3" ht="17.25" customHeight="1" x14ac:dyDescent="0.25">
      <c r="B30" s="27" t="s">
        <v>93</v>
      </c>
      <c r="C30" s="36">
        <f>SUMIFS(OJ!D:D,OJ!E:E,$D$4,OJ!B:B,Tableau7[[#This Row],[Dépenses]])</f>
        <v>0</v>
      </c>
    </row>
    <row r="31" spans="2:3" ht="17.25" customHeight="1" x14ac:dyDescent="0.25">
      <c r="B31" s="27" t="s">
        <v>94</v>
      </c>
      <c r="C31" s="48">
        <f>SUMIFS(OJ!D:D,OJ!E:E,$D$4,OJ!B:B,Tableau7[[#This Row],[Dépenses]])</f>
        <v>0</v>
      </c>
    </row>
    <row r="32" spans="2:3" ht="17.25" customHeight="1" x14ac:dyDescent="0.25">
      <c r="B32" s="27" t="s">
        <v>72</v>
      </c>
      <c r="C32" s="48">
        <f>SUMIFS(OJ!D:D,OJ!E:E,$D$4,OJ!B:B,Tableau7[[#This Row],[Dépenses]])</f>
        <v>0</v>
      </c>
    </row>
    <row r="33" spans="2:3" ht="17.25" customHeight="1" x14ac:dyDescent="0.25">
      <c r="B33" s="27" t="s">
        <v>89</v>
      </c>
      <c r="C33" s="48">
        <f>SUMIFS(OJ!D:D,OJ!E:E,$D$4,OJ!B:B,Tableau7[[#This Row],[Dépenses]])</f>
        <v>0</v>
      </c>
    </row>
    <row r="34" spans="2:3" ht="17.25" customHeight="1" x14ac:dyDescent="0.25">
      <c r="B34" s="27" t="s">
        <v>10</v>
      </c>
      <c r="C34" s="48">
        <f>SUMIFS(OJ!D:D,OJ!E:E,$D$4,OJ!B:B,Tableau7[[#This Row],[Dépenses]])</f>
        <v>0</v>
      </c>
    </row>
    <row r="35" spans="2:3" ht="25.5" customHeight="1" x14ac:dyDescent="0.25">
      <c r="B35" s="28" t="s">
        <v>52</v>
      </c>
      <c r="C35" s="29">
        <f>SUBTOTAL(109,Tableau7[Colonne1])</f>
        <v>5700</v>
      </c>
    </row>
  </sheetData>
  <conditionalFormatting sqref="H4:I4">
    <cfRule type="dataBar" priority="3">
      <dataBar>
        <cfvo type="percent" val="0"/>
        <cfvo type="percent" val="100"/>
        <color rgb="FFFFCCCC"/>
      </dataBar>
      <extLst>
        <ext xmlns:x14="http://schemas.microsoft.com/office/spreadsheetml/2009/9/main" uri="{B025F937-C7B1-47D3-B67F-A62EFF666E3E}">
          <x14:id>{9CE2CC9F-7E8E-4394-B0C5-2D04FB4604F7}</x14:id>
        </ext>
      </extLst>
    </cfRule>
    <cfRule type="dataBar" priority="4">
      <dataBar>
        <cfvo type="min"/>
        <cfvo type="max"/>
        <color theme="5"/>
      </dataBar>
      <extLst>
        <ext xmlns:x14="http://schemas.microsoft.com/office/spreadsheetml/2009/9/main" uri="{B025F937-C7B1-47D3-B67F-A62EFF666E3E}">
          <x14:id>{D5BC8648-A730-48C5-AC66-D378F371B3B1}</x14:id>
        </ext>
      </extLst>
    </cfRule>
    <cfRule type="dataBar" priority="5">
      <dataBar>
        <cfvo type="percent" val="0"/>
        <cfvo type="percent" val="100"/>
        <color rgb="FF638EC6"/>
      </dataBar>
      <extLst>
        <ext xmlns:x14="http://schemas.microsoft.com/office/spreadsheetml/2009/9/main" uri="{B025F937-C7B1-47D3-B67F-A62EFF666E3E}">
          <x14:id>{95305CF3-F26E-40B5-B127-3848275B2DFB}</x14:id>
        </ext>
      </extLst>
    </cfRule>
  </conditionalFormatting>
  <conditionalFormatting sqref="J4:K4">
    <cfRule type="dataBar" priority="1">
      <dataBar>
        <cfvo type="percent" val="0"/>
        <cfvo type="percent" val="100"/>
        <color rgb="FF00CC99"/>
      </dataBar>
      <extLst>
        <ext xmlns:x14="http://schemas.microsoft.com/office/spreadsheetml/2009/9/main" uri="{B025F937-C7B1-47D3-B67F-A62EFF666E3E}">
          <x14:id>{089AEC44-588D-42F5-BA3D-D650875C9CFC}</x14:id>
        </ext>
      </extLst>
    </cfRule>
    <cfRule type="dataBar" priority="2">
      <dataBar>
        <cfvo type="min"/>
        <cfvo type="max"/>
        <color rgb="FFC00000"/>
      </dataBar>
      <extLst>
        <ext xmlns:x14="http://schemas.microsoft.com/office/spreadsheetml/2009/9/main" uri="{B025F937-C7B1-47D3-B67F-A62EFF666E3E}">
          <x14:id>{B6A6B95D-DF36-41C0-A1B8-9CBF3884D83B}</x14:id>
        </ext>
      </extLst>
    </cfRule>
  </conditionalFormatting>
  <pageMargins left="0.7" right="0.7" top="0.75" bottom="0.75" header="0.3" footer="0.3"/>
  <pageSetup paperSize="9" orientation="landscape" r:id="rId1"/>
  <drawing r:id="rId2"/>
  <tableParts count="2">
    <tablePart r:id="rId3"/>
    <tablePart r:id="rId4"/>
  </tableParts>
  <extLst>
    <ext xmlns:x14="http://schemas.microsoft.com/office/spreadsheetml/2009/9/main" uri="{78C0D931-6437-407d-A8EE-F0AAD7539E65}">
      <x14:conditionalFormattings>
        <x14:conditionalFormatting xmlns:xm="http://schemas.microsoft.com/office/excel/2006/main">
          <x14:cfRule type="dataBar" id="{9CE2CC9F-7E8E-4394-B0C5-2D04FB4604F7}">
            <x14:dataBar minLength="0" maxLength="100" gradient="0">
              <x14:cfvo type="percent">
                <xm:f>0</xm:f>
              </x14:cfvo>
              <x14:cfvo type="percent">
                <xm:f>100</xm:f>
              </x14:cfvo>
              <x14:negativeFillColor rgb="FFFF0000"/>
              <x14:axisColor rgb="FF000000"/>
            </x14:dataBar>
          </x14:cfRule>
          <x14:cfRule type="dataBar" id="{D5BC8648-A730-48C5-AC66-D378F371B3B1}">
            <x14:dataBar minLength="0" maxLength="100" gradient="0">
              <x14:cfvo type="autoMin"/>
              <x14:cfvo type="autoMax"/>
              <x14:negativeFillColor rgb="FFFF0000"/>
              <x14:axisColor rgb="FF000000"/>
            </x14:dataBar>
          </x14:cfRule>
          <x14:cfRule type="dataBar" id="{95305CF3-F26E-40B5-B127-3848275B2DFB}">
            <x14:dataBar minLength="0" maxLength="100" gradient="0">
              <x14:cfvo type="percent">
                <xm:f>0</xm:f>
              </x14:cfvo>
              <x14:cfvo type="percent">
                <xm:f>100</xm:f>
              </x14:cfvo>
              <x14:negativeFillColor rgb="FFFF0000"/>
              <x14:axisColor rgb="FF000000"/>
            </x14:dataBar>
          </x14:cfRule>
          <xm:sqref>H4:I4</xm:sqref>
        </x14:conditionalFormatting>
        <x14:conditionalFormatting xmlns:xm="http://schemas.microsoft.com/office/excel/2006/main">
          <x14:cfRule type="dataBar" id="{089AEC44-588D-42F5-BA3D-D650875C9CFC}">
            <x14:dataBar minLength="0" maxLength="100" gradient="0">
              <x14:cfvo type="percent">
                <xm:f>0</xm:f>
              </x14:cfvo>
              <x14:cfvo type="percent">
                <xm:f>100</xm:f>
              </x14:cfvo>
              <x14:negativeFillColor rgb="FFFF0000"/>
              <x14:axisColor rgb="FF000000"/>
            </x14:dataBar>
          </x14:cfRule>
          <x14:cfRule type="dataBar" id="{B6A6B95D-DF36-41C0-A1B8-9CBF3884D83B}">
            <x14:dataBar minLength="0" maxLength="100" gradient="0">
              <x14:cfvo type="autoMin"/>
              <x14:cfvo type="autoMax"/>
              <x14:negativeFillColor rgb="FFFF0000"/>
              <x14:axisColor rgb="FF000000"/>
            </x14:dataBar>
          </x14:cfRule>
          <xm:sqref>J4:K4</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0000000}">
          <x14:formula1>
            <xm:f>LAUNCHPAD!$C$17:$N$17</xm:f>
          </x14:formula1>
          <xm:sqref>C4</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N5"/>
  <sheetViews>
    <sheetView zoomScaleNormal="100" workbookViewId="0">
      <pane xSplit="16" ySplit="28" topLeftCell="R30" activePane="bottomRight" state="frozen"/>
      <selection pane="topRight" activeCell="Q1" sqref="Q1"/>
      <selection pane="bottomLeft" activeCell="A29" sqref="A29"/>
      <selection pane="bottomRight"/>
    </sheetView>
  </sheetViews>
  <sheetFormatPr baseColWidth="10" defaultColWidth="11.42578125" defaultRowHeight="15" x14ac:dyDescent="0.25"/>
  <cols>
    <col min="1" max="1" width="2.5703125" style="1" customWidth="1"/>
    <col min="2" max="2" width="32.7109375" style="1" customWidth="1"/>
    <col min="3" max="3" width="13" style="1" customWidth="1"/>
    <col min="4" max="4" width="12.42578125" style="1" customWidth="1"/>
    <col min="5" max="5" width="12.5703125" style="1" customWidth="1"/>
    <col min="6" max="6" width="13.85546875" style="1" customWidth="1"/>
    <col min="7" max="7" width="11.85546875" style="1" customWidth="1"/>
    <col min="8" max="8" width="13" style="1" customWidth="1"/>
    <col min="9" max="10" width="12.140625" style="1" customWidth="1"/>
    <col min="11" max="11" width="14.42578125" style="1" customWidth="1"/>
    <col min="12" max="12" width="13.28515625" style="1" customWidth="1"/>
    <col min="13" max="13" width="14.28515625" style="1" customWidth="1"/>
    <col min="14" max="14" width="14.85546875" style="1" customWidth="1"/>
    <col min="15" max="15" width="12.5703125" style="1" customWidth="1"/>
    <col min="16" max="16384" width="11.42578125" style="1"/>
  </cols>
  <sheetData>
    <row r="1" spans="1:14" ht="9" customHeight="1" x14ac:dyDescent="0.25"/>
    <row r="2" spans="1:14" s="15" customFormat="1" ht="37.5" customHeight="1" x14ac:dyDescent="0.5">
      <c r="A2" s="14"/>
      <c r="B2" s="19" t="s">
        <v>45</v>
      </c>
    </row>
    <row r="3" spans="1:14" ht="10.5" customHeight="1" x14ac:dyDescent="0.25"/>
    <row r="4" spans="1:14" ht="20.25" x14ac:dyDescent="0.3">
      <c r="B4" s="17" t="s">
        <v>44</v>
      </c>
      <c r="C4" s="18">
        <f ca="1">YEAR(TODAY())</f>
        <v>2022</v>
      </c>
    </row>
    <row r="5" spans="1:14" ht="11.25" customHeight="1" x14ac:dyDescent="0.25">
      <c r="C5" s="26">
        <v>1</v>
      </c>
      <c r="D5" s="26">
        <v>2</v>
      </c>
      <c r="E5" s="26">
        <v>3</v>
      </c>
      <c r="F5" s="26">
        <v>4</v>
      </c>
      <c r="G5" s="26">
        <v>5</v>
      </c>
      <c r="H5" s="26">
        <v>6</v>
      </c>
      <c r="I5" s="26">
        <v>7</v>
      </c>
      <c r="J5" s="26">
        <v>8</v>
      </c>
      <c r="K5" s="26">
        <v>9</v>
      </c>
      <c r="L5" s="26">
        <v>10</v>
      </c>
      <c r="M5" s="26">
        <v>11</v>
      </c>
      <c r="N5" s="26">
        <v>12</v>
      </c>
    </row>
  </sheetData>
  <sheetProtection algorithmName="SHA-512" hashValue="MMfEgWh1Bi731cvcWqUh+8qFMdI+cKcMoVtc6qcu7wjy7PsAiGsZ7PTc6FETkcOgAsP1hlVq8BvbPM0zIg59/g==" saltValue="0Y2+xJJyO7Dl4QQw8lMWww==" spinCount="100000" sheet="1" objects="1" scenarios="1"/>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dimension ref="A1:G34"/>
  <sheetViews>
    <sheetView zoomScale="80" zoomScaleNormal="80" workbookViewId="0">
      <pane xSplit="20" ySplit="35" topLeftCell="U36" activePane="bottomRight" state="frozen"/>
      <selection pane="topRight" activeCell="U1" sqref="U1"/>
      <selection pane="bottomLeft" activeCell="A36" sqref="A36"/>
      <selection pane="bottomRight" activeCell="E10" sqref="E10"/>
    </sheetView>
  </sheetViews>
  <sheetFormatPr baseColWidth="10" defaultColWidth="11.42578125" defaultRowHeight="15" x14ac:dyDescent="0.25"/>
  <cols>
    <col min="1" max="2" width="3.7109375" style="84" customWidth="1"/>
    <col min="3" max="3" width="39.5703125" style="84" customWidth="1"/>
    <col min="4" max="4" width="1.85546875" style="84" customWidth="1"/>
    <col min="5" max="5" width="4.85546875" style="63" hidden="1" customWidth="1"/>
    <col min="6" max="6" width="24.140625" style="63" bestFit="1" customWidth="1"/>
    <col min="7" max="7" width="25.5703125" style="63" bestFit="1" customWidth="1"/>
    <col min="8" max="8" width="6.28515625" style="84" customWidth="1"/>
    <col min="9" max="9" width="12.5703125" style="84" bestFit="1" customWidth="1"/>
    <col min="10" max="19" width="11.42578125" style="84"/>
    <col min="20" max="20" width="11.42578125" style="84" customWidth="1"/>
    <col min="21" max="16384" width="11.42578125" style="84"/>
  </cols>
  <sheetData>
    <row r="1" spans="1:7" ht="9.75" customHeight="1" x14ac:dyDescent="0.25"/>
    <row r="2" spans="1:7" s="93" customFormat="1" ht="48" customHeight="1" x14ac:dyDescent="0.55000000000000004">
      <c r="A2" s="89"/>
      <c r="B2" s="90" t="s">
        <v>42</v>
      </c>
      <c r="C2" s="90"/>
      <c r="D2" s="90"/>
      <c r="E2" s="91"/>
      <c r="F2" s="92"/>
      <c r="G2" s="92"/>
    </row>
    <row r="3" spans="1:7" ht="17.25" x14ac:dyDescent="0.35">
      <c r="F3"/>
      <c r="G3"/>
    </row>
    <row r="4" spans="1:7" ht="17.25" x14ac:dyDescent="0.35">
      <c r="F4" s="64" t="s">
        <v>82</v>
      </c>
      <c r="G4" s="64" t="s">
        <v>148</v>
      </c>
    </row>
    <row r="5" spans="1:7" ht="17.25" x14ac:dyDescent="0.35">
      <c r="F5" s="64"/>
      <c r="G5" s="64"/>
    </row>
    <row r="6" spans="1:7" ht="17.25" x14ac:dyDescent="0.35">
      <c r="F6" s="64" t="s">
        <v>145</v>
      </c>
      <c r="G6" s="64" t="s">
        <v>80</v>
      </c>
    </row>
    <row r="7" spans="1:7" ht="17.25" x14ac:dyDescent="0.35">
      <c r="F7" s="94" t="s">
        <v>96</v>
      </c>
      <c r="G7" s="95">
        <v>1400</v>
      </c>
    </row>
    <row r="8" spans="1:7" ht="17.25" x14ac:dyDescent="0.35">
      <c r="F8" s="94" t="s">
        <v>64</v>
      </c>
      <c r="G8" s="95">
        <v>800</v>
      </c>
    </row>
    <row r="9" spans="1:7" ht="17.25" x14ac:dyDescent="0.35">
      <c r="F9" s="94" t="s">
        <v>129</v>
      </c>
      <c r="G9" s="95">
        <v>300</v>
      </c>
    </row>
    <row r="10" spans="1:7" ht="17.25" x14ac:dyDescent="0.35">
      <c r="F10" s="94" t="s">
        <v>146</v>
      </c>
      <c r="G10" s="95"/>
    </row>
    <row r="11" spans="1:7" ht="17.25" x14ac:dyDescent="0.35">
      <c r="F11" s="94" t="s">
        <v>86</v>
      </c>
      <c r="G11" s="95">
        <v>200</v>
      </c>
    </row>
    <row r="12" spans="1:7" ht="17.25" x14ac:dyDescent="0.35">
      <c r="F12" s="94" t="s">
        <v>0</v>
      </c>
      <c r="G12" s="95">
        <v>500</v>
      </c>
    </row>
    <row r="13" spans="1:7" ht="17.25" x14ac:dyDescent="0.35">
      <c r="F13" s="94" t="s">
        <v>11</v>
      </c>
      <c r="G13" s="95">
        <v>3000</v>
      </c>
    </row>
    <row r="14" spans="1:7" ht="17.25" x14ac:dyDescent="0.35">
      <c r="F14" s="94" t="s">
        <v>85</v>
      </c>
      <c r="G14" s="95">
        <v>2500</v>
      </c>
    </row>
    <row r="15" spans="1:7" ht="17.25" x14ac:dyDescent="0.35">
      <c r="F15" s="94" t="s">
        <v>14</v>
      </c>
      <c r="G15" s="95">
        <v>500</v>
      </c>
    </row>
    <row r="16" spans="1:7" ht="17.25" x14ac:dyDescent="0.35">
      <c r="F16" s="94" t="s">
        <v>54</v>
      </c>
      <c r="G16" s="95">
        <v>300</v>
      </c>
    </row>
    <row r="17" spans="6:7" ht="17.25" x14ac:dyDescent="0.35">
      <c r="F17" s="94" t="s">
        <v>16</v>
      </c>
      <c r="G17" s="95">
        <v>450</v>
      </c>
    </row>
    <row r="18" spans="6:7" ht="17.25" x14ac:dyDescent="0.35">
      <c r="F18" s="94" t="s">
        <v>99</v>
      </c>
      <c r="G18" s="95">
        <v>400</v>
      </c>
    </row>
    <row r="19" spans="6:7" ht="17.25" x14ac:dyDescent="0.35">
      <c r="F19" s="94" t="s">
        <v>98</v>
      </c>
      <c r="G19" s="95">
        <v>100</v>
      </c>
    </row>
    <row r="20" spans="6:7" ht="17.25" x14ac:dyDescent="0.35">
      <c r="F20" s="94" t="s">
        <v>104</v>
      </c>
      <c r="G20" s="95">
        <v>200</v>
      </c>
    </row>
    <row r="21" spans="6:7" ht="17.25" x14ac:dyDescent="0.35">
      <c r="F21" s="94" t="s">
        <v>111</v>
      </c>
      <c r="G21" s="95">
        <v>300</v>
      </c>
    </row>
    <row r="22" spans="6:7" ht="17.25" x14ac:dyDescent="0.35">
      <c r="F22" s="94" t="s">
        <v>6</v>
      </c>
      <c r="G22" s="95">
        <v>200</v>
      </c>
    </row>
    <row r="23" spans="6:7" ht="17.25" x14ac:dyDescent="0.35">
      <c r="F23" s="94" t="s">
        <v>15</v>
      </c>
      <c r="G23" s="95">
        <v>700</v>
      </c>
    </row>
    <row r="24" spans="6:7" ht="17.25" x14ac:dyDescent="0.35">
      <c r="F24" s="94" t="s">
        <v>144</v>
      </c>
      <c r="G24" s="95">
        <v>150</v>
      </c>
    </row>
    <row r="25" spans="6:7" ht="17.25" x14ac:dyDescent="0.35">
      <c r="F25" s="94" t="s">
        <v>147</v>
      </c>
      <c r="G25" s="95">
        <v>12000</v>
      </c>
    </row>
    <row r="26" spans="6:7" ht="17.25" x14ac:dyDescent="0.35">
      <c r="F26"/>
      <c r="G26"/>
    </row>
    <row r="27" spans="6:7" ht="17.25" x14ac:dyDescent="0.35">
      <c r="F27"/>
      <c r="G27"/>
    </row>
    <row r="28" spans="6:7" ht="17.25" x14ac:dyDescent="0.35">
      <c r="F28"/>
      <c r="G28"/>
    </row>
    <row r="29" spans="6:7" ht="17.25" x14ac:dyDescent="0.35">
      <c r="F29"/>
      <c r="G29"/>
    </row>
    <row r="30" spans="6:7" ht="17.25" x14ac:dyDescent="0.35">
      <c r="F30"/>
      <c r="G30"/>
    </row>
    <row r="31" spans="6:7" ht="17.25" x14ac:dyDescent="0.35">
      <c r="F31"/>
      <c r="G31"/>
    </row>
    <row r="32" spans="6:7" ht="17.25" x14ac:dyDescent="0.35">
      <c r="F32"/>
      <c r="G32"/>
    </row>
    <row r="33" spans="6:7" ht="17.25" x14ac:dyDescent="0.35">
      <c r="F33"/>
      <c r="G33"/>
    </row>
    <row r="34" spans="6:7" ht="17.25" x14ac:dyDescent="0.35">
      <c r="F34"/>
      <c r="G34"/>
    </row>
  </sheetData>
  <sheetProtection pivotTables="0"/>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3"/>
  <dimension ref="A1:I29"/>
  <sheetViews>
    <sheetView zoomScale="75" zoomScaleNormal="75" workbookViewId="0">
      <pane ySplit="2" topLeftCell="A3" activePane="bottomLeft" state="frozen"/>
      <selection pane="bottomLeft"/>
    </sheetView>
  </sheetViews>
  <sheetFormatPr baseColWidth="10" defaultColWidth="11.42578125" defaultRowHeight="15" x14ac:dyDescent="0.25"/>
  <cols>
    <col min="1" max="1" width="16.140625" style="85" customWidth="1"/>
    <col min="2" max="2" width="20.140625" style="84" customWidth="1"/>
    <col min="3" max="3" width="26" style="84" customWidth="1"/>
    <col min="4" max="4" width="16.7109375" style="86" customWidth="1"/>
    <col min="5" max="6" width="11.42578125" style="84"/>
    <col min="7" max="9" width="11.42578125" style="63"/>
    <col min="10" max="10" width="15.7109375" style="63" bestFit="1" customWidth="1"/>
    <col min="11" max="16384" width="11.42578125" style="63"/>
  </cols>
  <sheetData>
    <row r="1" spans="1:9" x14ac:dyDescent="0.25">
      <c r="A1" s="81" t="s">
        <v>36</v>
      </c>
      <c r="B1" s="82" t="s">
        <v>141</v>
      </c>
      <c r="C1" s="82" t="s">
        <v>142</v>
      </c>
      <c r="D1" s="83" t="s">
        <v>143</v>
      </c>
      <c r="E1" s="82" t="s">
        <v>81</v>
      </c>
      <c r="F1" s="82" t="s">
        <v>82</v>
      </c>
      <c r="G1" s="79">
        <f>MIN(A:A)</f>
        <v>44562</v>
      </c>
      <c r="H1" s="79">
        <f ca="1">TODAY()</f>
        <v>44645</v>
      </c>
      <c r="I1" s="80">
        <f ca="1">H1-G1</f>
        <v>83</v>
      </c>
    </row>
    <row r="2" spans="1:9" ht="14.45" x14ac:dyDescent="0.25">
      <c r="A2" s="81"/>
      <c r="B2" s="82"/>
      <c r="C2" s="82"/>
      <c r="D2" s="83"/>
    </row>
    <row r="3" spans="1:9" ht="14.45" x14ac:dyDescent="0.25">
      <c r="A3" s="81"/>
      <c r="B3" s="82"/>
      <c r="C3" s="82"/>
      <c r="D3" s="83"/>
      <c r="E3" s="84">
        <f>MONTH(Tableau1[[#This Row],[DATE]])</f>
        <v>1</v>
      </c>
      <c r="F3"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4" spans="1:9" ht="14.45" x14ac:dyDescent="0.25">
      <c r="A4" s="81"/>
      <c r="B4" s="82"/>
      <c r="C4" s="82"/>
      <c r="D4" s="83"/>
    </row>
    <row r="5" spans="1:9" ht="14.45" x14ac:dyDescent="0.25">
      <c r="A5" s="81">
        <v>44620</v>
      </c>
      <c r="B5" s="82" t="s">
        <v>89</v>
      </c>
      <c r="C5" s="82" t="s">
        <v>111</v>
      </c>
      <c r="D5" s="83">
        <v>300</v>
      </c>
      <c r="E5" s="84">
        <f>MONTH(Tableau1[[#This Row],[DATE]])</f>
        <v>2</v>
      </c>
      <c r="F5"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6" spans="1:9" ht="14.45" x14ac:dyDescent="0.25">
      <c r="A6" s="81">
        <v>44609</v>
      </c>
      <c r="B6" s="82" t="s">
        <v>41</v>
      </c>
      <c r="C6" s="82" t="s">
        <v>86</v>
      </c>
      <c r="D6" s="83">
        <v>100</v>
      </c>
      <c r="E6" s="84">
        <f>MONTH(Tableau1[[#This Row],[DATE]])</f>
        <v>2</v>
      </c>
      <c r="F6"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7" spans="1:9" ht="14.45" x14ac:dyDescent="0.25">
      <c r="A7" s="81">
        <v>44608</v>
      </c>
      <c r="B7" s="82" t="s">
        <v>41</v>
      </c>
      <c r="C7" s="82" t="s">
        <v>64</v>
      </c>
      <c r="D7" s="83">
        <v>400</v>
      </c>
      <c r="E7" s="84">
        <f>MONTH(Tableau1[[#This Row],[DATE]])</f>
        <v>2</v>
      </c>
      <c r="F7"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8" spans="1:9" ht="14.45" x14ac:dyDescent="0.25">
      <c r="A8" s="81">
        <v>44607</v>
      </c>
      <c r="B8" s="82" t="s">
        <v>67</v>
      </c>
      <c r="C8" s="82" t="s">
        <v>99</v>
      </c>
      <c r="D8" s="83">
        <v>200</v>
      </c>
      <c r="E8" s="84">
        <f>MONTH(Tableau1[[#This Row],[DATE]])</f>
        <v>2</v>
      </c>
      <c r="F8"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9" spans="1:9" ht="14.45" x14ac:dyDescent="0.25">
      <c r="A9" s="81">
        <v>44607</v>
      </c>
      <c r="B9" s="82" t="s">
        <v>67</v>
      </c>
      <c r="C9" s="82" t="s">
        <v>14</v>
      </c>
      <c r="D9" s="83">
        <v>500</v>
      </c>
      <c r="E9" s="84">
        <f>MONTH(Tableau1[[#This Row],[DATE]])</f>
        <v>2</v>
      </c>
      <c r="F9"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10" spans="1:9" ht="14.45" x14ac:dyDescent="0.25">
      <c r="A10" s="81">
        <v>44620</v>
      </c>
      <c r="B10" s="82" t="s">
        <v>90</v>
      </c>
      <c r="C10" s="82" t="s">
        <v>15</v>
      </c>
      <c r="D10" s="83">
        <v>700</v>
      </c>
      <c r="E10" s="84">
        <f>MONTH(Tableau1[[#This Row],[DATE]])</f>
        <v>2</v>
      </c>
      <c r="F10"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11" spans="1:9" ht="14.45" x14ac:dyDescent="0.25">
      <c r="A11" s="81">
        <v>44598</v>
      </c>
      <c r="B11" s="82" t="s">
        <v>90</v>
      </c>
      <c r="C11" s="82" t="s">
        <v>16</v>
      </c>
      <c r="D11" s="83">
        <v>200</v>
      </c>
      <c r="E11" s="84">
        <f>MONTH(Tableau1[[#This Row],[DATE]])</f>
        <v>2</v>
      </c>
      <c r="F11"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12" spans="1:9" ht="14.45" x14ac:dyDescent="0.25">
      <c r="A12" s="81">
        <v>44598</v>
      </c>
      <c r="B12" s="82" t="s">
        <v>41</v>
      </c>
      <c r="C12" s="82" t="s">
        <v>104</v>
      </c>
      <c r="D12" s="83">
        <v>200</v>
      </c>
      <c r="E12" s="84">
        <f>MONTH(Tableau1[[#This Row],[DATE]])</f>
        <v>2</v>
      </c>
      <c r="F12"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13" spans="1:9" ht="14.45" x14ac:dyDescent="0.25">
      <c r="A13" s="81">
        <v>44593</v>
      </c>
      <c r="B13" s="82" t="s">
        <v>5</v>
      </c>
      <c r="C13" s="82" t="s">
        <v>85</v>
      </c>
      <c r="D13" s="83">
        <v>1500</v>
      </c>
      <c r="E13" s="84">
        <f>MONTH(Tableau1[[#This Row],[DATE]])</f>
        <v>2</v>
      </c>
      <c r="F13"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14" spans="1:9" ht="14.45" x14ac:dyDescent="0.25">
      <c r="A14" s="81">
        <v>44593</v>
      </c>
      <c r="B14" s="82" t="s">
        <v>1</v>
      </c>
      <c r="C14" s="82" t="s">
        <v>96</v>
      </c>
      <c r="D14" s="83">
        <v>700</v>
      </c>
      <c r="E14" s="84">
        <f>MONTH(Tableau1[[#This Row],[DATE]])</f>
        <v>2</v>
      </c>
      <c r="F14"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15" spans="1:9" ht="14.45" x14ac:dyDescent="0.25">
      <c r="A15" s="81">
        <v>44593</v>
      </c>
      <c r="B15" s="82" t="s">
        <v>67</v>
      </c>
      <c r="C15" s="82" t="s">
        <v>11</v>
      </c>
      <c r="D15" s="83">
        <v>1500</v>
      </c>
      <c r="E15" s="84">
        <f>MONTH(Tableau1[[#This Row],[DATE]])</f>
        <v>2</v>
      </c>
      <c r="F15"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Février</v>
      </c>
    </row>
    <row r="16" spans="1:9" ht="14.45" x14ac:dyDescent="0.25">
      <c r="A16" s="81">
        <v>44592</v>
      </c>
      <c r="B16" s="82" t="s">
        <v>90</v>
      </c>
      <c r="C16" s="82" t="s">
        <v>16</v>
      </c>
      <c r="D16" s="83">
        <v>250</v>
      </c>
      <c r="E16" s="84">
        <f>MONTH(Tableau1[[#This Row],[DATE]])</f>
        <v>1</v>
      </c>
      <c r="F16"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17" spans="1:6" ht="14.45" x14ac:dyDescent="0.25">
      <c r="A17" s="81">
        <v>44588</v>
      </c>
      <c r="B17" s="82" t="s">
        <v>2</v>
      </c>
      <c r="C17" s="82" t="s">
        <v>54</v>
      </c>
      <c r="D17" s="83">
        <v>300</v>
      </c>
      <c r="E17" s="84">
        <f>MONTH(Tableau1[[#This Row],[DATE]])</f>
        <v>1</v>
      </c>
      <c r="F17"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18" spans="1:6" ht="14.45" x14ac:dyDescent="0.25">
      <c r="A18" s="81">
        <v>44587</v>
      </c>
      <c r="B18" s="82" t="s">
        <v>6</v>
      </c>
      <c r="C18" s="82" t="s">
        <v>6</v>
      </c>
      <c r="D18" s="83">
        <v>200</v>
      </c>
      <c r="E18" s="84">
        <f>MONTH(Tableau1[[#This Row],[DATE]])</f>
        <v>1</v>
      </c>
      <c r="F18"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19" spans="1:6" ht="14.45" x14ac:dyDescent="0.25">
      <c r="A19" s="81">
        <v>44586</v>
      </c>
      <c r="B19" s="82" t="s">
        <v>5</v>
      </c>
      <c r="C19" s="82" t="s">
        <v>144</v>
      </c>
      <c r="D19" s="83">
        <v>150</v>
      </c>
      <c r="E19" s="84">
        <f>MONTH(Tableau1[[#This Row],[DATE]])</f>
        <v>1</v>
      </c>
      <c r="F19"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0" spans="1:6" ht="14.45" x14ac:dyDescent="0.25">
      <c r="A20" s="81">
        <v>44586</v>
      </c>
      <c r="B20" s="82" t="s">
        <v>5</v>
      </c>
      <c r="C20" s="82" t="s">
        <v>129</v>
      </c>
      <c r="D20" s="83">
        <v>300</v>
      </c>
      <c r="E20" s="84">
        <f>MONTH(Tableau1[[#This Row],[DATE]])</f>
        <v>1</v>
      </c>
      <c r="F20"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1" spans="1:6" ht="14.45" x14ac:dyDescent="0.25">
      <c r="A21" s="81">
        <v>44586</v>
      </c>
      <c r="B21" s="82" t="s">
        <v>5</v>
      </c>
      <c r="C21" s="82" t="s">
        <v>85</v>
      </c>
      <c r="D21" s="83">
        <v>1000</v>
      </c>
      <c r="E21" s="84">
        <f>MONTH(Tableau1[[#This Row],[DATE]])</f>
        <v>1</v>
      </c>
      <c r="F21"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2" spans="1:6" ht="14.45" x14ac:dyDescent="0.25">
      <c r="A22" s="81">
        <v>44576</v>
      </c>
      <c r="B22" s="82" t="s">
        <v>41</v>
      </c>
      <c r="C22" s="82" t="s">
        <v>86</v>
      </c>
      <c r="D22" s="83">
        <v>100</v>
      </c>
      <c r="E22" s="84">
        <f>MONTH(Tableau1[[#This Row],[DATE]])</f>
        <v>1</v>
      </c>
      <c r="F22"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3" spans="1:6" ht="14.45" x14ac:dyDescent="0.25">
      <c r="A23" s="81">
        <v>44576</v>
      </c>
      <c r="B23" s="82" t="s">
        <v>41</v>
      </c>
      <c r="C23" s="82" t="s">
        <v>64</v>
      </c>
      <c r="D23" s="83">
        <v>400</v>
      </c>
      <c r="E23" s="84">
        <f>MONTH(Tableau1[[#This Row],[DATE]])</f>
        <v>1</v>
      </c>
      <c r="F23"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4" spans="1:6" ht="14.45" x14ac:dyDescent="0.25">
      <c r="A24" s="81">
        <v>44571</v>
      </c>
      <c r="B24" s="82" t="s">
        <v>1</v>
      </c>
      <c r="C24" s="82" t="s">
        <v>96</v>
      </c>
      <c r="D24" s="83">
        <v>700</v>
      </c>
      <c r="E24" s="84">
        <f>MONTH(Tableau1[[#This Row],[DATE]])</f>
        <v>1</v>
      </c>
      <c r="F24"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5" spans="1:6" ht="14.45" x14ac:dyDescent="0.25">
      <c r="A25" s="81">
        <v>44567</v>
      </c>
      <c r="B25" s="82" t="s">
        <v>67</v>
      </c>
      <c r="C25" s="82" t="s">
        <v>0</v>
      </c>
      <c r="D25" s="83">
        <v>500</v>
      </c>
      <c r="E25" s="84">
        <f>MONTH(Tableau1[[#This Row],[DATE]])</f>
        <v>1</v>
      </c>
      <c r="F25"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6" spans="1:6" ht="14.45" x14ac:dyDescent="0.25">
      <c r="A26" s="81">
        <v>44566</v>
      </c>
      <c r="B26" s="82" t="s">
        <v>67</v>
      </c>
      <c r="C26" s="82" t="s">
        <v>99</v>
      </c>
      <c r="D26" s="83">
        <v>200</v>
      </c>
      <c r="E26" s="84">
        <f>MONTH(Tableau1[[#This Row],[DATE]])</f>
        <v>1</v>
      </c>
      <c r="F26"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7" spans="1:6" ht="14.45" x14ac:dyDescent="0.25">
      <c r="A27" s="81">
        <v>44562</v>
      </c>
      <c r="B27" s="82" t="s">
        <v>67</v>
      </c>
      <c r="C27" s="82" t="s">
        <v>98</v>
      </c>
      <c r="D27" s="83">
        <v>100</v>
      </c>
      <c r="E27" s="84">
        <f>MONTH(Tableau1[[#This Row],[DATE]])</f>
        <v>1</v>
      </c>
      <c r="F27"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8" spans="1:6" x14ac:dyDescent="0.25">
      <c r="A28" s="81">
        <v>44562</v>
      </c>
      <c r="B28" s="82" t="s">
        <v>67</v>
      </c>
      <c r="C28" s="82" t="s">
        <v>11</v>
      </c>
      <c r="D28" s="83">
        <v>1500</v>
      </c>
      <c r="E28" s="84">
        <f>MONTH(Tableau1[[#This Row],[DATE]])</f>
        <v>1</v>
      </c>
      <c r="F28"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row r="29" spans="1:6" ht="14.45" x14ac:dyDescent="0.25">
      <c r="A29" s="81"/>
      <c r="B29" s="82"/>
      <c r="C29" s="82"/>
      <c r="D29" s="83"/>
      <c r="E29" s="84">
        <f>MONTH(Tableau1[[#This Row],[DATE]])</f>
        <v>1</v>
      </c>
      <c r="F29" s="84" t="str">
        <f>IF(Tableau1[[#This Row],[V]]=1,"Janvier",IF(Tableau1[[#This Row],[V]]=2,"Février",IF(Tableau1[[#This Row],[V]]=3,"Mars",IF(Tableau1[[#This Row],[V]]=4,"Avril",IF(Tableau1[[#This Row],[V]]=5,"Mai",IF(Tableau1[[#This Row],[V]]=6,"juin",IF(Tableau1[[#This Row],[V]]=7,"Juillet",IF(Tableau1[[#This Row],[V]]=8,"Août",IF(Tableau1[[#This Row],[V]]=9,"Septembre",IF(Tableau1[[#This Row],[V]]=10,"Octobre",IF(Tableau1[[#This Row],[V]]=11,"Novembre","Décembre")))))))))))</f>
        <v>Janvier</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44" r:id="rId3" name="Button 4">
              <controlPr locked="0" defaultSize="0" print="0" autoFill="0" autoPict="0" macro="[0]!EFFACER">
                <anchor moveWithCells="1" sizeWithCells="1">
                  <from>
                    <xdr:col>13</xdr:col>
                    <xdr:colOff>666750</xdr:colOff>
                    <xdr:row>0</xdr:row>
                    <xdr:rowOff>66675</xdr:rowOff>
                  </from>
                  <to>
                    <xdr:col>15</xdr:col>
                    <xdr:colOff>523875</xdr:colOff>
                    <xdr:row>1</xdr:row>
                    <xdr:rowOff>95250</xdr:rowOff>
                  </to>
                </anchor>
              </controlPr>
            </control>
          </mc:Choice>
        </mc:AlternateContent>
      </controls>
    </mc:Choice>
  </mc:AlternateContent>
  <tableParts count="1">
    <tablePart r:id="rId4"/>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5"/>
  <dimension ref="B4:S29"/>
  <sheetViews>
    <sheetView workbookViewId="0">
      <selection activeCell="C21" sqref="C21"/>
    </sheetView>
  </sheetViews>
  <sheetFormatPr baseColWidth="10" defaultColWidth="11.42578125" defaultRowHeight="15" x14ac:dyDescent="0.25"/>
  <cols>
    <col min="1" max="1" width="2.85546875" style="1" customWidth="1"/>
    <col min="2" max="2" width="23.42578125" style="1" customWidth="1"/>
    <col min="3" max="3" width="22.28515625" style="1" customWidth="1"/>
    <col min="4" max="4" width="21.7109375" style="1" customWidth="1"/>
    <col min="5" max="5" width="19.42578125" style="1" customWidth="1"/>
    <col min="6" max="6" width="21.140625" style="1" customWidth="1"/>
    <col min="7" max="7" width="18.85546875" style="1" customWidth="1"/>
    <col min="8" max="8" width="17.7109375" style="1" customWidth="1"/>
    <col min="9" max="9" width="18.140625" style="1" customWidth="1"/>
    <col min="10" max="10" width="18.7109375" style="1" customWidth="1"/>
    <col min="11" max="11" width="21.85546875" style="1" customWidth="1"/>
    <col min="12" max="12" width="19.85546875" style="1" customWidth="1"/>
    <col min="13" max="13" width="19.140625" style="1" customWidth="1"/>
    <col min="14" max="14" width="19.42578125" style="1" customWidth="1"/>
    <col min="15" max="15" width="21.5703125" style="1" customWidth="1"/>
    <col min="16" max="18" width="19.42578125" style="1" customWidth="1"/>
    <col min="19" max="19" width="16.42578125" style="1" customWidth="1"/>
    <col min="20" max="16384" width="11.42578125" style="1"/>
  </cols>
  <sheetData>
    <row r="4" spans="2:19" ht="24.75" x14ac:dyDescent="0.5">
      <c r="B4" s="2" t="s">
        <v>67</v>
      </c>
      <c r="C4" s="2" t="s">
        <v>90</v>
      </c>
      <c r="D4" s="2" t="s">
        <v>1</v>
      </c>
      <c r="E4" s="2" t="s">
        <v>2</v>
      </c>
      <c r="F4" s="2" t="s">
        <v>41</v>
      </c>
      <c r="G4" s="2" t="s">
        <v>3</v>
      </c>
      <c r="H4" s="2" t="s">
        <v>4</v>
      </c>
      <c r="I4" s="2" t="s">
        <v>5</v>
      </c>
      <c r="J4" s="2" t="s">
        <v>6</v>
      </c>
      <c r="K4" s="2" t="s">
        <v>7</v>
      </c>
      <c r="L4" s="2" t="s">
        <v>8</v>
      </c>
      <c r="M4" s="2" t="s">
        <v>9</v>
      </c>
      <c r="N4" s="2" t="s">
        <v>88</v>
      </c>
      <c r="O4" s="2" t="s">
        <v>93</v>
      </c>
      <c r="P4" s="2" t="s">
        <v>94</v>
      </c>
      <c r="Q4" s="2" t="s">
        <v>72</v>
      </c>
      <c r="R4" s="2" t="s">
        <v>89</v>
      </c>
      <c r="S4" s="2" t="s">
        <v>10</v>
      </c>
    </row>
    <row r="5" spans="2:19" ht="17.25" x14ac:dyDescent="0.35">
      <c r="B5" s="58" t="s">
        <v>11</v>
      </c>
      <c r="C5" s="58" t="s">
        <v>12</v>
      </c>
      <c r="D5" s="58" t="s">
        <v>54</v>
      </c>
      <c r="E5" s="58" t="s">
        <v>54</v>
      </c>
      <c r="F5" s="58" t="s">
        <v>64</v>
      </c>
      <c r="G5" s="58" t="s">
        <v>149</v>
      </c>
      <c r="H5" s="58" t="s">
        <v>69</v>
      </c>
      <c r="I5" s="58" t="s">
        <v>85</v>
      </c>
      <c r="J5" s="58" t="s">
        <v>6</v>
      </c>
      <c r="K5" s="58" t="s">
        <v>97</v>
      </c>
      <c r="L5" s="58" t="s">
        <v>14</v>
      </c>
      <c r="M5" s="58" t="s">
        <v>85</v>
      </c>
      <c r="N5" s="58" t="s">
        <v>72</v>
      </c>
      <c r="O5" s="58" t="s">
        <v>91</v>
      </c>
      <c r="P5" s="58" t="s">
        <v>109</v>
      </c>
      <c r="Q5" s="58" t="s">
        <v>106</v>
      </c>
      <c r="R5" s="58" t="s">
        <v>111</v>
      </c>
      <c r="S5" s="58" t="s">
        <v>10</v>
      </c>
    </row>
    <row r="6" spans="2:19" ht="17.25" x14ac:dyDescent="0.35">
      <c r="B6" s="58" t="s">
        <v>98</v>
      </c>
      <c r="C6" s="58" t="s">
        <v>15</v>
      </c>
      <c r="D6" s="58" t="s">
        <v>96</v>
      </c>
      <c r="E6" s="58" t="s">
        <v>60</v>
      </c>
      <c r="F6" s="58" t="s">
        <v>104</v>
      </c>
      <c r="G6" s="58" t="s">
        <v>113</v>
      </c>
      <c r="H6" s="58" t="s">
        <v>92</v>
      </c>
      <c r="I6" s="58" t="s">
        <v>129</v>
      </c>
      <c r="J6" s="58" t="s">
        <v>68</v>
      </c>
      <c r="K6" s="58" t="s">
        <v>63</v>
      </c>
      <c r="L6" s="58" t="s">
        <v>84</v>
      </c>
      <c r="M6" s="58" t="s">
        <v>128</v>
      </c>
      <c r="N6" s="58" t="s">
        <v>57</v>
      </c>
      <c r="O6" s="58" t="s">
        <v>92</v>
      </c>
      <c r="P6" s="58" t="s">
        <v>110</v>
      </c>
      <c r="Q6" s="58" t="s">
        <v>88</v>
      </c>
      <c r="R6" s="58" t="s">
        <v>112</v>
      </c>
      <c r="S6" s="58"/>
    </row>
    <row r="7" spans="2:19" ht="17.25" x14ac:dyDescent="0.35">
      <c r="B7" s="58" t="s">
        <v>70</v>
      </c>
      <c r="C7" s="58" t="s">
        <v>16</v>
      </c>
      <c r="D7" s="58" t="s">
        <v>55</v>
      </c>
      <c r="E7" s="58" t="s">
        <v>13</v>
      </c>
      <c r="F7" s="58" t="s">
        <v>17</v>
      </c>
      <c r="G7" s="58" t="s">
        <v>114</v>
      </c>
      <c r="H7" s="58" t="s">
        <v>13</v>
      </c>
      <c r="I7" s="58" t="s">
        <v>144</v>
      </c>
      <c r="J7" s="58" t="s">
        <v>10</v>
      </c>
      <c r="K7" s="58" t="s">
        <v>18</v>
      </c>
      <c r="L7" s="58" t="s">
        <v>19</v>
      </c>
      <c r="M7" s="58" t="s">
        <v>129</v>
      </c>
      <c r="N7" s="58" t="s">
        <v>58</v>
      </c>
      <c r="O7" s="58" t="s">
        <v>100</v>
      </c>
      <c r="P7" s="58"/>
      <c r="Q7" s="58" t="s">
        <v>107</v>
      </c>
      <c r="R7" s="58"/>
      <c r="S7" s="58"/>
    </row>
    <row r="8" spans="2:19" ht="17.25" x14ac:dyDescent="0.35">
      <c r="B8" s="58" t="s">
        <v>99</v>
      </c>
      <c r="C8" s="58" t="s">
        <v>10</v>
      </c>
      <c r="D8" s="58" t="s">
        <v>72</v>
      </c>
      <c r="E8" s="58" t="s">
        <v>61</v>
      </c>
      <c r="F8" s="58" t="s">
        <v>86</v>
      </c>
      <c r="G8" s="58"/>
      <c r="H8" s="58" t="s">
        <v>64</v>
      </c>
      <c r="I8" s="58" t="s">
        <v>131</v>
      </c>
      <c r="J8" s="58"/>
      <c r="K8" s="58" t="s">
        <v>10</v>
      </c>
      <c r="L8" s="58" t="s">
        <v>10</v>
      </c>
      <c r="M8" s="58" t="s">
        <v>130</v>
      </c>
      <c r="N8" s="58" t="s">
        <v>59</v>
      </c>
      <c r="O8" s="58" t="s">
        <v>101</v>
      </c>
      <c r="P8" s="58"/>
      <c r="Q8" s="58" t="s">
        <v>108</v>
      </c>
      <c r="R8" s="58"/>
      <c r="S8" s="58"/>
    </row>
    <row r="9" spans="2:19" ht="17.25" x14ac:dyDescent="0.35">
      <c r="B9" s="58" t="s">
        <v>103</v>
      </c>
      <c r="C9" s="58"/>
      <c r="D9" s="58" t="s">
        <v>103</v>
      </c>
      <c r="E9" s="58" t="s">
        <v>62</v>
      </c>
      <c r="F9" s="58" t="s">
        <v>87</v>
      </c>
      <c r="G9" s="58"/>
      <c r="H9" s="58" t="s">
        <v>18</v>
      </c>
      <c r="I9" s="58" t="s">
        <v>10</v>
      </c>
      <c r="J9" s="58"/>
      <c r="K9" s="63"/>
      <c r="L9" s="58"/>
      <c r="M9" s="58"/>
      <c r="N9" s="58" t="s">
        <v>10</v>
      </c>
      <c r="O9" s="58" t="s">
        <v>84</v>
      </c>
      <c r="P9" s="58"/>
      <c r="Q9" s="58" t="s">
        <v>93</v>
      </c>
      <c r="R9" s="58"/>
      <c r="S9" s="58"/>
    </row>
    <row r="10" spans="2:19" ht="17.25" x14ac:dyDescent="0.35">
      <c r="B10" s="58" t="s">
        <v>71</v>
      </c>
      <c r="C10" s="58"/>
      <c r="D10" s="58" t="s">
        <v>95</v>
      </c>
      <c r="E10" s="58" t="s">
        <v>90</v>
      </c>
      <c r="F10" s="58" t="s">
        <v>105</v>
      </c>
      <c r="G10" s="58"/>
      <c r="H10" s="58" t="s">
        <v>10</v>
      </c>
      <c r="I10" s="58"/>
      <c r="J10" s="58"/>
      <c r="K10" s="58"/>
      <c r="L10" s="58"/>
      <c r="M10" s="58"/>
      <c r="N10" s="58"/>
      <c r="O10" s="58" t="s">
        <v>64</v>
      </c>
      <c r="P10" s="58"/>
      <c r="Q10" s="58" t="s">
        <v>4</v>
      </c>
      <c r="R10" s="58"/>
      <c r="S10" s="58"/>
    </row>
    <row r="11" spans="2:19" ht="17.25" x14ac:dyDescent="0.35">
      <c r="B11" s="58" t="s">
        <v>72</v>
      </c>
      <c r="C11" s="58"/>
      <c r="D11" s="58" t="s">
        <v>71</v>
      </c>
      <c r="E11" s="58" t="s">
        <v>102</v>
      </c>
      <c r="F11" s="58" t="s">
        <v>10</v>
      </c>
      <c r="G11" s="58"/>
      <c r="H11" s="63"/>
      <c r="I11" s="58"/>
      <c r="J11" s="58"/>
      <c r="K11" s="58"/>
      <c r="L11" s="58"/>
      <c r="M11" s="58"/>
      <c r="N11" s="58"/>
      <c r="O11" s="58"/>
      <c r="P11" s="58"/>
      <c r="Q11" s="58" t="s">
        <v>10</v>
      </c>
      <c r="R11" s="58"/>
      <c r="S11" s="58"/>
    </row>
    <row r="12" spans="2:19" ht="17.25" x14ac:dyDescent="0.35">
      <c r="B12" s="58" t="s">
        <v>0</v>
      </c>
      <c r="C12" s="58"/>
      <c r="D12" s="58" t="s">
        <v>10</v>
      </c>
      <c r="E12" s="58" t="s">
        <v>10</v>
      </c>
      <c r="F12" s="58" t="s">
        <v>140</v>
      </c>
      <c r="G12" s="58"/>
      <c r="H12" s="58"/>
      <c r="I12" s="58"/>
      <c r="J12" s="58"/>
      <c r="K12" s="58"/>
      <c r="L12" s="58"/>
      <c r="M12" s="58"/>
      <c r="N12" s="58"/>
      <c r="O12" s="58"/>
      <c r="P12" s="58"/>
      <c r="Q12" s="58"/>
      <c r="R12" s="58"/>
      <c r="S12" s="58"/>
    </row>
    <row r="13" spans="2:19" ht="17.25" x14ac:dyDescent="0.35">
      <c r="B13" s="58" t="s">
        <v>14</v>
      </c>
      <c r="C13" s="58"/>
      <c r="D13" s="58"/>
      <c r="E13" s="58"/>
      <c r="F13" s="58"/>
      <c r="G13" s="58"/>
      <c r="H13" s="58"/>
      <c r="I13" s="58"/>
      <c r="J13" s="58"/>
      <c r="K13" s="58"/>
      <c r="L13" s="58"/>
      <c r="M13" s="58"/>
      <c r="N13" s="58"/>
      <c r="O13" s="58"/>
      <c r="P13" s="58"/>
      <c r="Q13" s="58"/>
      <c r="R13" s="58"/>
      <c r="S13" s="58"/>
    </row>
    <row r="14" spans="2:19" ht="17.25" x14ac:dyDescent="0.35">
      <c r="B14" s="58" t="s">
        <v>10</v>
      </c>
      <c r="C14" s="58"/>
      <c r="D14" s="58"/>
      <c r="E14" s="58"/>
      <c r="F14" s="58"/>
      <c r="G14" s="58"/>
      <c r="H14" s="58"/>
      <c r="I14" s="58"/>
      <c r="J14" s="58"/>
      <c r="K14" s="58"/>
      <c r="L14" s="58"/>
      <c r="M14" s="58"/>
      <c r="N14" s="58"/>
      <c r="O14" s="58"/>
      <c r="P14" s="58"/>
      <c r="Q14" s="58"/>
      <c r="R14" s="58"/>
      <c r="S14" s="58"/>
    </row>
    <row r="15" spans="2:19" ht="17.25" x14ac:dyDescent="0.35">
      <c r="B15" s="58"/>
      <c r="C15" s="58"/>
      <c r="D15" s="58"/>
      <c r="E15" s="58"/>
      <c r="F15" s="58"/>
      <c r="G15" s="58"/>
      <c r="H15" s="58"/>
      <c r="I15" s="58"/>
      <c r="J15" s="58"/>
      <c r="K15" s="58"/>
      <c r="L15" s="58"/>
      <c r="M15" s="58"/>
      <c r="N15" s="58"/>
      <c r="O15" s="58"/>
      <c r="P15" s="58"/>
      <c r="Q15" s="58"/>
      <c r="R15" s="58"/>
      <c r="S15" s="58"/>
    </row>
    <row r="16" spans="2:19" x14ac:dyDescent="0.25">
      <c r="B16" s="34"/>
      <c r="C16" s="26">
        <v>1</v>
      </c>
      <c r="D16" s="26">
        <v>2</v>
      </c>
      <c r="E16" s="26">
        <v>3</v>
      </c>
      <c r="F16" s="26">
        <v>4</v>
      </c>
      <c r="G16" s="26">
        <v>5</v>
      </c>
      <c r="H16" s="26">
        <v>6</v>
      </c>
      <c r="I16" s="26">
        <v>7</v>
      </c>
      <c r="J16" s="26">
        <v>8</v>
      </c>
      <c r="K16" s="26">
        <v>9</v>
      </c>
      <c r="L16" s="26">
        <v>10</v>
      </c>
      <c r="M16" s="26">
        <v>11</v>
      </c>
      <c r="N16" s="26">
        <v>12</v>
      </c>
      <c r="O16" s="26"/>
      <c r="P16" s="26"/>
      <c r="Q16" s="26"/>
      <c r="R16" s="26"/>
      <c r="S16" s="26"/>
    </row>
    <row r="17" spans="2:18" ht="19.5" x14ac:dyDescent="0.4">
      <c r="B17" s="3"/>
      <c r="C17" s="3" t="s">
        <v>20</v>
      </c>
      <c r="D17" s="3" t="s">
        <v>21</v>
      </c>
      <c r="E17" s="3" t="s">
        <v>22</v>
      </c>
      <c r="F17" s="3" t="s">
        <v>23</v>
      </c>
      <c r="G17" s="3" t="s">
        <v>24</v>
      </c>
      <c r="H17" s="3" t="s">
        <v>25</v>
      </c>
      <c r="I17" s="3" t="s">
        <v>26</v>
      </c>
      <c r="J17" s="3" t="s">
        <v>27</v>
      </c>
      <c r="K17" s="3" t="s">
        <v>28</v>
      </c>
      <c r="L17" s="3" t="s">
        <v>29</v>
      </c>
      <c r="M17" s="3" t="s">
        <v>30</v>
      </c>
      <c r="N17" s="3" t="s">
        <v>31</v>
      </c>
      <c r="O17" s="65"/>
      <c r="P17" s="65"/>
      <c r="Q17" s="65"/>
      <c r="R17" s="65"/>
    </row>
    <row r="18" spans="2:18" ht="19.5" x14ac:dyDescent="0.4">
      <c r="B18" s="59" t="s">
        <v>32</v>
      </c>
      <c r="C18" s="60">
        <v>8000</v>
      </c>
      <c r="D18" s="60">
        <v>8000</v>
      </c>
      <c r="E18" s="60"/>
      <c r="F18" s="60"/>
      <c r="G18" s="60"/>
      <c r="H18" s="60"/>
      <c r="I18" s="60"/>
      <c r="J18" s="60"/>
      <c r="K18" s="60"/>
      <c r="L18" s="60"/>
      <c r="M18" s="60"/>
      <c r="N18" s="60"/>
      <c r="O18" s="65"/>
      <c r="P18" s="65"/>
      <c r="Q18" s="65"/>
      <c r="R18" s="65"/>
    </row>
    <row r="19" spans="2:18" ht="19.5" x14ac:dyDescent="0.4">
      <c r="B19" s="59" t="s">
        <v>33</v>
      </c>
      <c r="C19" s="60"/>
      <c r="D19" s="60"/>
      <c r="E19" s="60"/>
      <c r="F19" s="61"/>
      <c r="G19" s="60"/>
      <c r="H19" s="60"/>
      <c r="I19" s="60"/>
      <c r="J19" s="59"/>
      <c r="K19" s="60"/>
      <c r="L19" s="60"/>
      <c r="M19" s="60"/>
      <c r="N19" s="60"/>
      <c r="O19" s="65"/>
      <c r="P19" s="65"/>
      <c r="Q19" s="65"/>
      <c r="R19" s="65"/>
    </row>
    <row r="20" spans="2:18" ht="19.5" x14ac:dyDescent="0.4">
      <c r="B20" s="59" t="s">
        <v>5</v>
      </c>
      <c r="C20" s="60"/>
      <c r="D20" s="60"/>
      <c r="E20" s="60"/>
      <c r="F20" s="61"/>
      <c r="G20" s="60"/>
      <c r="H20" s="60"/>
      <c r="I20" s="60"/>
      <c r="J20" s="59"/>
      <c r="K20" s="60"/>
      <c r="L20" s="60"/>
      <c r="M20" s="60"/>
      <c r="N20" s="60"/>
      <c r="O20" s="65"/>
      <c r="P20" s="65"/>
      <c r="Q20" s="65"/>
      <c r="R20" s="65"/>
    </row>
    <row r="21" spans="2:18" ht="19.5" x14ac:dyDescent="0.4">
      <c r="B21" s="59" t="s">
        <v>34</v>
      </c>
      <c r="C21" s="60"/>
      <c r="D21" s="60"/>
      <c r="E21" s="60"/>
      <c r="F21" s="61"/>
      <c r="G21" s="60"/>
      <c r="H21" s="60"/>
      <c r="I21" s="60"/>
      <c r="J21" s="59"/>
      <c r="K21" s="60"/>
      <c r="L21" s="60"/>
      <c r="M21" s="60"/>
      <c r="N21" s="60"/>
      <c r="O21" s="65"/>
      <c r="P21" s="65"/>
      <c r="Q21" s="65"/>
      <c r="R21" s="65"/>
    </row>
    <row r="22" spans="2:18" ht="19.5" x14ac:dyDescent="0.4">
      <c r="B22" s="59" t="s">
        <v>66</v>
      </c>
      <c r="C22" s="60"/>
      <c r="D22" s="60"/>
      <c r="E22" s="60"/>
      <c r="F22" s="61"/>
      <c r="G22" s="60"/>
      <c r="H22" s="60"/>
      <c r="I22" s="60"/>
      <c r="J22" s="59"/>
      <c r="K22" s="60"/>
      <c r="L22" s="60"/>
      <c r="M22" s="60"/>
      <c r="N22" s="60"/>
      <c r="O22" s="65"/>
      <c r="P22" s="65"/>
      <c r="Q22" s="65"/>
      <c r="R22" s="65"/>
    </row>
    <row r="23" spans="2:18" ht="19.5" x14ac:dyDescent="0.4">
      <c r="B23" s="59" t="s">
        <v>65</v>
      </c>
      <c r="C23" s="60"/>
      <c r="D23" s="60"/>
      <c r="E23" s="60"/>
      <c r="F23" s="61"/>
      <c r="G23" s="60"/>
      <c r="H23" s="60"/>
      <c r="I23" s="60"/>
      <c r="J23" s="59"/>
      <c r="K23" s="60"/>
      <c r="L23" s="60"/>
      <c r="M23" s="60"/>
      <c r="N23" s="60"/>
      <c r="O23" s="65"/>
      <c r="P23" s="65"/>
      <c r="Q23" s="65"/>
      <c r="R23" s="65"/>
    </row>
    <row r="24" spans="2:18" ht="19.5" x14ac:dyDescent="0.4">
      <c r="B24" s="42" t="s">
        <v>79</v>
      </c>
      <c r="C24" s="43">
        <v>0</v>
      </c>
      <c r="D24" s="43">
        <f>Tableau2[Janvier]</f>
        <v>300</v>
      </c>
      <c r="E24" s="43">
        <f>Tableau2[Février]</f>
        <v>0</v>
      </c>
      <c r="F24" s="43">
        <f>Tableau2[Mars]</f>
        <v>0</v>
      </c>
      <c r="G24" s="43">
        <f>Tableau2[Avril]</f>
        <v>0</v>
      </c>
      <c r="H24" s="43">
        <f>Tableau2[Mai]</f>
        <v>0</v>
      </c>
      <c r="I24" s="43">
        <f>Tableau2[Juin]</f>
        <v>0</v>
      </c>
      <c r="J24" s="43">
        <f>Tableau2[Juillet]</f>
        <v>0</v>
      </c>
      <c r="K24" s="43">
        <f>Tableau2[Août]</f>
        <v>0</v>
      </c>
      <c r="L24" s="43">
        <f>Tableau2[Septembre]</f>
        <v>0</v>
      </c>
      <c r="M24" s="43">
        <f>Tableau2[Octobre]</f>
        <v>0</v>
      </c>
      <c r="N24" s="43">
        <f>Tableau2[Novembre]</f>
        <v>0</v>
      </c>
      <c r="O24" s="65"/>
      <c r="P24" s="65"/>
      <c r="Q24" s="65"/>
      <c r="R24" s="65"/>
    </row>
    <row r="25" spans="2:18" ht="19.5" x14ac:dyDescent="0.4">
      <c r="B25" s="4" t="s">
        <v>35</v>
      </c>
      <c r="C25" s="5">
        <f>SUM(C18:C24)</f>
        <v>8000</v>
      </c>
      <c r="D25" s="5">
        <f>SUM(D18:D24)</f>
        <v>8300</v>
      </c>
      <c r="E25" s="5">
        <f t="shared" ref="E25:N25" si="0">SUM(E18:E24)</f>
        <v>0</v>
      </c>
      <c r="F25" s="5">
        <f t="shared" si="0"/>
        <v>0</v>
      </c>
      <c r="G25" s="5">
        <f t="shared" si="0"/>
        <v>0</v>
      </c>
      <c r="H25" s="5">
        <f t="shared" si="0"/>
        <v>0</v>
      </c>
      <c r="I25" s="5">
        <f t="shared" si="0"/>
        <v>0</v>
      </c>
      <c r="J25" s="5">
        <f t="shared" si="0"/>
        <v>0</v>
      </c>
      <c r="K25" s="5">
        <f t="shared" si="0"/>
        <v>0</v>
      </c>
      <c r="L25" s="5">
        <f t="shared" si="0"/>
        <v>0</v>
      </c>
      <c r="M25" s="5">
        <f t="shared" si="0"/>
        <v>0</v>
      </c>
      <c r="N25" s="5">
        <f t="shared" si="0"/>
        <v>0</v>
      </c>
      <c r="O25" s="65"/>
      <c r="P25" s="65"/>
      <c r="Q25" s="65"/>
      <c r="R25" s="65"/>
    </row>
    <row r="26" spans="2:18" ht="19.5" x14ac:dyDescent="0.4">
      <c r="C26" s="26">
        <v>1</v>
      </c>
      <c r="D26" s="26">
        <v>2</v>
      </c>
      <c r="E26" s="26">
        <v>3</v>
      </c>
      <c r="F26" s="26">
        <v>4</v>
      </c>
      <c r="G26" s="26">
        <v>5</v>
      </c>
      <c r="H26" s="26">
        <v>6</v>
      </c>
      <c r="I26" s="26">
        <v>7</v>
      </c>
      <c r="J26" s="26">
        <v>8</v>
      </c>
      <c r="K26" s="26">
        <v>9</v>
      </c>
      <c r="L26" s="26">
        <v>10</v>
      </c>
      <c r="M26" s="26">
        <v>11</v>
      </c>
      <c r="N26" s="26">
        <v>12</v>
      </c>
      <c r="O26" s="65"/>
      <c r="P26" s="65"/>
      <c r="Q26" s="65"/>
      <c r="R26" s="65"/>
    </row>
    <row r="27" spans="2:18" ht="24.75" customHeight="1" x14ac:dyDescent="0.4">
      <c r="B27" s="3"/>
      <c r="C27" s="3" t="s">
        <v>20</v>
      </c>
      <c r="D27" s="3" t="s">
        <v>21</v>
      </c>
      <c r="E27" s="3" t="s">
        <v>22</v>
      </c>
      <c r="F27" s="3" t="s">
        <v>23</v>
      </c>
      <c r="G27" s="3" t="s">
        <v>24</v>
      </c>
      <c r="H27" s="3" t="s">
        <v>25</v>
      </c>
      <c r="I27" s="3" t="s">
        <v>26</v>
      </c>
      <c r="J27" s="3" t="s">
        <v>27</v>
      </c>
      <c r="K27" s="3" t="s">
        <v>28</v>
      </c>
      <c r="L27" s="3" t="s">
        <v>29</v>
      </c>
      <c r="M27" s="3" t="s">
        <v>30</v>
      </c>
      <c r="N27" s="3" t="s">
        <v>31</v>
      </c>
      <c r="O27" s="65"/>
      <c r="P27" s="65"/>
      <c r="Q27" s="65"/>
      <c r="R27" s="65"/>
    </row>
    <row r="28" spans="2:18" ht="19.5" x14ac:dyDescent="0.4">
      <c r="B28" s="4" t="s">
        <v>73</v>
      </c>
      <c r="C28" s="60">
        <v>2000</v>
      </c>
      <c r="D28" s="60">
        <v>2000</v>
      </c>
      <c r="E28" s="60"/>
      <c r="F28" s="60"/>
      <c r="G28" s="60"/>
      <c r="H28" s="60"/>
      <c r="I28" s="60"/>
      <c r="J28" s="60"/>
      <c r="K28" s="60"/>
      <c r="L28" s="60"/>
      <c r="M28" s="60"/>
      <c r="N28" s="60"/>
      <c r="O28" s="65"/>
      <c r="P28" s="65"/>
      <c r="Q28" s="65"/>
      <c r="R28" s="65"/>
    </row>
    <row r="29" spans="2:18" ht="19.5" x14ac:dyDescent="0.4">
      <c r="O29" s="65"/>
      <c r="P29" s="65"/>
      <c r="Q29" s="65"/>
      <c r="R29" s="65"/>
    </row>
  </sheetData>
  <sheetProtection password="C85C" sheet="1" objects="1" scenarios="1"/>
  <dataValidations count="2">
    <dataValidation type="textLength" allowBlank="1" showInputMessage="1" showErrorMessage="1" errorTitle="DESCRIPTION INVALIDE" error="Le texte de Description dépasse 40 Caractères," sqref="B5:S15" xr:uid="{00000000-0002-0000-0800-000000000000}">
      <formula1>0</formula1>
      <formula2>40</formula2>
    </dataValidation>
    <dataValidation type="custom" allowBlank="1" showInputMessage="1" showErrorMessage="1" errorTitle="Epargne Invalide" error="Le Montant de l'Epargne Dépasse le Revenu" sqref="C28:N28" xr:uid="{00000000-0002-0000-0800-000001000000}">
      <formula1>C28&lt;C25</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RECOMMENCER_2">
                <anchor moveWithCells="1" sizeWithCells="1">
                  <from>
                    <xdr:col>2</xdr:col>
                    <xdr:colOff>581025</xdr:colOff>
                    <xdr:row>0</xdr:row>
                    <xdr:rowOff>114300</xdr:rowOff>
                  </from>
                  <to>
                    <xdr:col>3</xdr:col>
                    <xdr:colOff>704850</xdr:colOff>
                    <xdr:row>1</xdr:row>
                    <xdr:rowOff>152400</xdr:rowOff>
                  </to>
                </anchor>
              </controlPr>
            </control>
          </mc:Choice>
        </mc:AlternateContent>
        <mc:AlternateContent xmlns:mc="http://schemas.openxmlformats.org/markup-compatibility/2006">
          <mc:Choice Requires="x14">
            <control shapeId="4098" r:id="rId4" name="Button 2">
              <controlPr defaultSize="0" print="0" autoFill="0" autoPict="0" macro="[0]!SUPPRIMER">
                <anchor moveWithCells="1" sizeWithCells="1">
                  <from>
                    <xdr:col>3</xdr:col>
                    <xdr:colOff>762000</xdr:colOff>
                    <xdr:row>0</xdr:row>
                    <xdr:rowOff>114300</xdr:rowOff>
                  </from>
                  <to>
                    <xdr:col>4</xdr:col>
                    <xdr:colOff>981075</xdr:colOff>
                    <xdr:row>1</xdr:row>
                    <xdr:rowOff>152400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9"/>
  <dimension ref="A3:N46"/>
  <sheetViews>
    <sheetView workbookViewId="0">
      <selection activeCell="B3" sqref="B3:M8"/>
    </sheetView>
  </sheetViews>
  <sheetFormatPr baseColWidth="10" defaultColWidth="11.42578125" defaultRowHeight="15" x14ac:dyDescent="0.25"/>
  <cols>
    <col min="1" max="1" width="28.85546875" customWidth="1"/>
    <col min="10" max="10" width="13.140625" customWidth="1"/>
  </cols>
  <sheetData>
    <row r="3" spans="1:14" x14ac:dyDescent="0.25">
      <c r="A3" s="30"/>
      <c r="B3" s="30" t="s">
        <v>20</v>
      </c>
      <c r="C3" s="30" t="s">
        <v>21</v>
      </c>
      <c r="D3" s="30" t="s">
        <v>22</v>
      </c>
      <c r="E3" s="30" t="s">
        <v>23</v>
      </c>
      <c r="F3" s="30" t="s">
        <v>24</v>
      </c>
      <c r="G3" s="30" t="s">
        <v>25</v>
      </c>
      <c r="H3" s="30" t="s">
        <v>26</v>
      </c>
      <c r="I3" s="30" t="s">
        <v>27</v>
      </c>
      <c r="J3" s="30" t="s">
        <v>28</v>
      </c>
      <c r="K3" s="30" t="s">
        <v>29</v>
      </c>
      <c r="L3" s="30" t="s">
        <v>30</v>
      </c>
      <c r="M3" s="30" t="s">
        <v>31</v>
      </c>
    </row>
    <row r="4" spans="1:14" x14ac:dyDescent="0.25">
      <c r="A4" s="30" t="s">
        <v>46</v>
      </c>
      <c r="B4" s="30">
        <f>Tableau2[Janvier]</f>
        <v>300</v>
      </c>
      <c r="C4" s="30">
        <f>Tableau2[Février]</f>
        <v>0</v>
      </c>
      <c r="D4" s="30">
        <f>Tableau2[Mars]</f>
        <v>0</v>
      </c>
      <c r="E4" s="30">
        <f>Tableau2[Avril]</f>
        <v>0</v>
      </c>
      <c r="F4" s="30">
        <f>Tableau2[Mai]</f>
        <v>0</v>
      </c>
      <c r="G4" s="30">
        <f>Tableau2[Juin]</f>
        <v>0</v>
      </c>
      <c r="H4" s="30">
        <f>Tableau2[Juillet]</f>
        <v>0</v>
      </c>
      <c r="I4" s="30">
        <f>Tableau2[Août]</f>
        <v>0</v>
      </c>
      <c r="J4" s="30">
        <f>Tableau2[Septembre]</f>
        <v>0</v>
      </c>
      <c r="K4" s="30">
        <f>Tableau2[Octobre]</f>
        <v>0</v>
      </c>
      <c r="L4" s="30">
        <f>Tableau2[Novembre]</f>
        <v>0</v>
      </c>
      <c r="M4" s="30">
        <f>Tableau2[Décembre]</f>
        <v>0</v>
      </c>
    </row>
    <row r="5" spans="1:14" x14ac:dyDescent="0.25">
      <c r="A5" s="30" t="s">
        <v>73</v>
      </c>
      <c r="B5" s="30">
        <f>Tableau5[Janvier]</f>
        <v>2000</v>
      </c>
      <c r="C5" s="30">
        <f>Tableau5[Février]</f>
        <v>2000</v>
      </c>
      <c r="D5" s="30">
        <f>Tableau5[Mars]</f>
        <v>0</v>
      </c>
      <c r="E5" s="30">
        <f>Tableau5[Avril]</f>
        <v>0</v>
      </c>
      <c r="F5" s="30">
        <f>Tableau5[Mai]</f>
        <v>0</v>
      </c>
      <c r="G5" s="30">
        <f>Tableau5[Juin]</f>
        <v>0</v>
      </c>
      <c r="H5" s="30">
        <f>Tableau5[Juillet]</f>
        <v>0</v>
      </c>
      <c r="I5" s="30">
        <f>Tableau5[Août]</f>
        <v>0</v>
      </c>
      <c r="J5" s="30">
        <f>Tableau5[Septembre]</f>
        <v>0</v>
      </c>
      <c r="K5" s="30">
        <f>Tableau5[Octobre]</f>
        <v>0</v>
      </c>
      <c r="L5" s="30">
        <f>Tableau5[Novembre]</f>
        <v>0</v>
      </c>
      <c r="M5" s="30">
        <f>Tableau5[Décembre]</f>
        <v>0</v>
      </c>
    </row>
    <row r="6" spans="1:14" x14ac:dyDescent="0.25">
      <c r="A6" s="30" t="s">
        <v>49</v>
      </c>
      <c r="B6" s="30">
        <f>Tableau3[[#Totals],[Janvier]]</f>
        <v>8000</v>
      </c>
      <c r="C6" s="30">
        <f>Tableau3[[#Totals],[Février]]</f>
        <v>8300</v>
      </c>
      <c r="D6" s="30">
        <f>Tableau3[[#Totals],[Mars]]</f>
        <v>0</v>
      </c>
      <c r="E6" s="30">
        <f>Tableau3[[#Totals],[Avril]]</f>
        <v>0</v>
      </c>
      <c r="F6" s="30">
        <f>Tableau3[[#Totals],[Mai]]</f>
        <v>0</v>
      </c>
      <c r="G6" s="30">
        <f>Tableau3[[#Totals],[Juin]]</f>
        <v>0</v>
      </c>
      <c r="H6" s="30">
        <f>Tableau3[[#Totals],[Juillet]]</f>
        <v>0</v>
      </c>
      <c r="I6" s="30">
        <f>Tableau3[[#Totals],[Août]]</f>
        <v>0</v>
      </c>
      <c r="J6" s="30">
        <f>Tableau3[[#Totals],[Septembre]]</f>
        <v>0</v>
      </c>
      <c r="K6" s="30">
        <f>Tableau3[[#Totals],[Octobre]]</f>
        <v>0</v>
      </c>
      <c r="L6" s="30">
        <f>Tableau3[[#Totals],[Novembre]]</f>
        <v>0</v>
      </c>
      <c r="M6" s="30">
        <f>Tableau3[[#Totals],[Décembre]]</f>
        <v>0</v>
      </c>
    </row>
    <row r="7" spans="1:14" x14ac:dyDescent="0.25">
      <c r="A7" s="30" t="s">
        <v>50</v>
      </c>
      <c r="B7" s="30">
        <f>Tableau4[[#Totals],[Janvier]]</f>
        <v>5700</v>
      </c>
      <c r="C7" s="30">
        <f>Tableau4[[#Totals],[Février]]</f>
        <v>6300</v>
      </c>
      <c r="D7" s="30">
        <f>Tableau4[[#Totals],[Mars]]</f>
        <v>0</v>
      </c>
      <c r="E7" s="30">
        <f>Tableau4[[#Totals],[Avril]]</f>
        <v>0</v>
      </c>
      <c r="F7" s="30">
        <f>Tableau4[[#Totals],[Mai]]</f>
        <v>0</v>
      </c>
      <c r="G7" s="30">
        <f>Tableau4[[#Totals],[Juin]]</f>
        <v>0</v>
      </c>
      <c r="H7" s="30">
        <f>Tableau4[[#Totals],[Juillet]]</f>
        <v>0</v>
      </c>
      <c r="I7" s="30">
        <f>Tableau4[[#Totals],[Août]]</f>
        <v>0</v>
      </c>
      <c r="J7" s="30">
        <f>Tableau4[[#Totals],[Septembre]]</f>
        <v>0</v>
      </c>
      <c r="K7" s="30">
        <f>Tableau4[[#Totals],[Octobre]]</f>
        <v>0</v>
      </c>
      <c r="L7" s="30">
        <f>Tableau4[[#Totals],[Novembre]]</f>
        <v>0</v>
      </c>
      <c r="M7" s="30">
        <f>Tableau4[[#Totals],[Décembre]]</f>
        <v>0</v>
      </c>
    </row>
    <row r="9" spans="1:14" x14ac:dyDescent="0.25">
      <c r="B9" s="30" t="s">
        <v>20</v>
      </c>
      <c r="C9" s="30" t="s">
        <v>21</v>
      </c>
      <c r="D9" s="30" t="s">
        <v>22</v>
      </c>
      <c r="E9" s="30" t="s">
        <v>23</v>
      </c>
      <c r="F9" s="30" t="s">
        <v>24</v>
      </c>
      <c r="G9" s="30" t="s">
        <v>25</v>
      </c>
      <c r="H9" s="30" t="s">
        <v>26</v>
      </c>
      <c r="I9" s="30" t="s">
        <v>27</v>
      </c>
      <c r="J9" s="30" t="s">
        <v>28</v>
      </c>
      <c r="K9" s="30" t="s">
        <v>29</v>
      </c>
      <c r="L9" s="30" t="s">
        <v>30</v>
      </c>
      <c r="M9" s="30" t="s">
        <v>31</v>
      </c>
    </row>
    <row r="10" spans="1:14" x14ac:dyDescent="0.25">
      <c r="A10" s="30" t="str">
        <f>'TB ANNUEL'!B27</f>
        <v>Foyer</v>
      </c>
      <c r="B10" s="52">
        <f>'TB ANNUEL'!C27</f>
        <v>2300</v>
      </c>
      <c r="C10" s="52">
        <f>'TB ANNUEL'!D27</f>
        <v>2200</v>
      </c>
      <c r="D10" s="52">
        <f>'TB ANNUEL'!E27</f>
        <v>0</v>
      </c>
      <c r="E10" s="52">
        <f>'TB ANNUEL'!F27</f>
        <v>0</v>
      </c>
      <c r="F10" s="52">
        <f>'TB ANNUEL'!G27</f>
        <v>0</v>
      </c>
      <c r="G10" s="52">
        <f>'TB ANNUEL'!H27</f>
        <v>0</v>
      </c>
      <c r="H10" s="52">
        <f>'TB ANNUEL'!I27</f>
        <v>0</v>
      </c>
      <c r="I10" s="52">
        <f>'TB ANNUEL'!J27</f>
        <v>0</v>
      </c>
      <c r="J10" s="52">
        <f>'TB ANNUEL'!K27</f>
        <v>0</v>
      </c>
      <c r="K10" s="52">
        <f>'TB ANNUEL'!L27</f>
        <v>0</v>
      </c>
      <c r="L10" s="52">
        <f>'TB ANNUEL'!M27</f>
        <v>0</v>
      </c>
      <c r="M10" s="52">
        <f>'TB ANNUEL'!N27</f>
        <v>0</v>
      </c>
      <c r="N10" s="52">
        <f>SUM(B10:M10)</f>
        <v>4500</v>
      </c>
    </row>
    <row r="11" spans="1:14" x14ac:dyDescent="0.25">
      <c r="A11" s="30" t="str">
        <f>'TB ANNUEL'!B28</f>
        <v>Repas</v>
      </c>
      <c r="B11" s="52">
        <f>'TB ANNUEL'!C28</f>
        <v>250</v>
      </c>
      <c r="C11" s="52">
        <f>'TB ANNUEL'!D28</f>
        <v>900</v>
      </c>
      <c r="D11" s="52">
        <f>'TB ANNUEL'!E28</f>
        <v>0</v>
      </c>
      <c r="E11" s="52">
        <f>'TB ANNUEL'!F28</f>
        <v>0</v>
      </c>
      <c r="F11" s="52">
        <f>'TB ANNUEL'!G28</f>
        <v>0</v>
      </c>
      <c r="G11" s="52">
        <f>'TB ANNUEL'!H28</f>
        <v>0</v>
      </c>
      <c r="H11" s="52">
        <f>'TB ANNUEL'!I28</f>
        <v>0</v>
      </c>
      <c r="I11" s="52">
        <f>'TB ANNUEL'!J28</f>
        <v>0</v>
      </c>
      <c r="J11" s="52">
        <f>'TB ANNUEL'!K28</f>
        <v>0</v>
      </c>
      <c r="K11" s="52">
        <f>'TB ANNUEL'!L28</f>
        <v>0</v>
      </c>
      <c r="L11" s="52">
        <f>'TB ANNUEL'!M28</f>
        <v>0</v>
      </c>
      <c r="M11" s="52">
        <f>'TB ANNUEL'!N28</f>
        <v>0</v>
      </c>
      <c r="N11" s="52">
        <f t="shared" ref="N11:N27" si="0">SUM(B11:M11)</f>
        <v>1150</v>
      </c>
    </row>
    <row r="12" spans="1:14" x14ac:dyDescent="0.25">
      <c r="A12" s="30" t="str">
        <f>'TB ANNUEL'!B29</f>
        <v>Transport</v>
      </c>
      <c r="B12" s="52">
        <f>'TB ANNUEL'!C29</f>
        <v>700</v>
      </c>
      <c r="C12" s="52">
        <f>'TB ANNUEL'!D29</f>
        <v>700</v>
      </c>
      <c r="D12" s="52">
        <f>'TB ANNUEL'!E29</f>
        <v>0</v>
      </c>
      <c r="E12" s="52">
        <f>'TB ANNUEL'!F29</f>
        <v>0</v>
      </c>
      <c r="F12" s="52">
        <f>'TB ANNUEL'!G29</f>
        <v>0</v>
      </c>
      <c r="G12" s="52">
        <f>'TB ANNUEL'!H29</f>
        <v>0</v>
      </c>
      <c r="H12" s="52">
        <f>'TB ANNUEL'!I29</f>
        <v>0</v>
      </c>
      <c r="I12" s="52">
        <f>'TB ANNUEL'!J29</f>
        <v>0</v>
      </c>
      <c r="J12" s="52">
        <f>'TB ANNUEL'!K29</f>
        <v>0</v>
      </c>
      <c r="K12" s="52">
        <f>'TB ANNUEL'!L29</f>
        <v>0</v>
      </c>
      <c r="L12" s="52">
        <f>'TB ANNUEL'!M29</f>
        <v>0</v>
      </c>
      <c r="M12" s="52">
        <f>'TB ANNUEL'!N29</f>
        <v>0</v>
      </c>
      <c r="N12" s="52">
        <f t="shared" si="0"/>
        <v>1400</v>
      </c>
    </row>
    <row r="13" spans="1:14" x14ac:dyDescent="0.25">
      <c r="A13" s="30" t="str">
        <f>'TB ANNUEL'!B30</f>
        <v>Voyage</v>
      </c>
      <c r="B13" s="52">
        <f>'TB ANNUEL'!C30</f>
        <v>300</v>
      </c>
      <c r="C13" s="52">
        <f>'TB ANNUEL'!D30</f>
        <v>0</v>
      </c>
      <c r="D13" s="52">
        <f>'TB ANNUEL'!E30</f>
        <v>0</v>
      </c>
      <c r="E13" s="52">
        <f>'TB ANNUEL'!F30</f>
        <v>0</v>
      </c>
      <c r="F13" s="52">
        <f>'TB ANNUEL'!G30</f>
        <v>0</v>
      </c>
      <c r="G13" s="52">
        <f>'TB ANNUEL'!H30</f>
        <v>0</v>
      </c>
      <c r="H13" s="52">
        <f>'TB ANNUEL'!I30</f>
        <v>0</v>
      </c>
      <c r="I13" s="52">
        <f>'TB ANNUEL'!J30</f>
        <v>0</v>
      </c>
      <c r="J13" s="52">
        <f>'TB ANNUEL'!K30</f>
        <v>0</v>
      </c>
      <c r="K13" s="52">
        <f>'TB ANNUEL'!L30</f>
        <v>0</v>
      </c>
      <c r="L13" s="52">
        <f>'TB ANNUEL'!M30</f>
        <v>0</v>
      </c>
      <c r="M13" s="52">
        <f>'TB ANNUEL'!N30</f>
        <v>0</v>
      </c>
      <c r="N13" s="52">
        <f t="shared" si="0"/>
        <v>300</v>
      </c>
    </row>
    <row r="14" spans="1:14" x14ac:dyDescent="0.25">
      <c r="A14" s="30" t="str">
        <f>'TB ANNUEL'!B31</f>
        <v>Self_Care</v>
      </c>
      <c r="B14" s="52">
        <f>'TB ANNUEL'!C31</f>
        <v>500</v>
      </c>
      <c r="C14" s="52">
        <f>'TB ANNUEL'!D31</f>
        <v>700</v>
      </c>
      <c r="D14" s="52">
        <f>'TB ANNUEL'!E31</f>
        <v>0</v>
      </c>
      <c r="E14" s="52">
        <f>'TB ANNUEL'!F31</f>
        <v>0</v>
      </c>
      <c r="F14" s="52">
        <f>'TB ANNUEL'!G31</f>
        <v>0</v>
      </c>
      <c r="G14" s="52">
        <f>'TB ANNUEL'!H31</f>
        <v>0</v>
      </c>
      <c r="H14" s="52">
        <f>'TB ANNUEL'!I31</f>
        <v>0</v>
      </c>
      <c r="I14" s="52">
        <f>'TB ANNUEL'!J31</f>
        <v>0</v>
      </c>
      <c r="J14" s="52">
        <f>'TB ANNUEL'!K31</f>
        <v>0</v>
      </c>
      <c r="K14" s="52">
        <f>'TB ANNUEL'!L31</f>
        <v>0</v>
      </c>
      <c r="L14" s="52">
        <f>'TB ANNUEL'!M31</f>
        <v>0</v>
      </c>
      <c r="M14" s="52">
        <f>'TB ANNUEL'!N31</f>
        <v>0</v>
      </c>
      <c r="N14" s="52">
        <f t="shared" si="0"/>
        <v>1200</v>
      </c>
    </row>
    <row r="15" spans="1:14" x14ac:dyDescent="0.25">
      <c r="A15" s="30" t="str">
        <f>'TB ANNUEL'!B32</f>
        <v>Loisirs</v>
      </c>
      <c r="B15" s="52">
        <f>'TB ANNUEL'!C32</f>
        <v>0</v>
      </c>
      <c r="C15" s="52">
        <f>'TB ANNUEL'!D32</f>
        <v>0</v>
      </c>
      <c r="D15" s="52">
        <f>'TB ANNUEL'!E32</f>
        <v>0</v>
      </c>
      <c r="E15" s="52">
        <f>'TB ANNUEL'!F32</f>
        <v>0</v>
      </c>
      <c r="F15" s="52">
        <f>'TB ANNUEL'!G32</f>
        <v>0</v>
      </c>
      <c r="G15" s="52">
        <f>'TB ANNUEL'!H32</f>
        <v>0</v>
      </c>
      <c r="H15" s="52">
        <f>'TB ANNUEL'!I32</f>
        <v>0</v>
      </c>
      <c r="I15" s="52">
        <f>'TB ANNUEL'!J32</f>
        <v>0</v>
      </c>
      <c r="J15" s="52">
        <f>'TB ANNUEL'!K32</f>
        <v>0</v>
      </c>
      <c r="K15" s="52">
        <f>'TB ANNUEL'!L32</f>
        <v>0</v>
      </c>
      <c r="L15" s="52">
        <f>'TB ANNUEL'!M32</f>
        <v>0</v>
      </c>
      <c r="M15" s="52">
        <f>'TB ANNUEL'!N32</f>
        <v>0</v>
      </c>
      <c r="N15" s="52">
        <f t="shared" si="0"/>
        <v>0</v>
      </c>
    </row>
    <row r="16" spans="1:14" x14ac:dyDescent="0.25">
      <c r="A16" s="30" t="str">
        <f>'TB ANNUEL'!B33</f>
        <v>Animaux</v>
      </c>
      <c r="B16" s="52">
        <f>'TB ANNUEL'!C33</f>
        <v>0</v>
      </c>
      <c r="C16" s="52">
        <f>'TB ANNUEL'!D33</f>
        <v>0</v>
      </c>
      <c r="D16" s="52">
        <f>'TB ANNUEL'!E33</f>
        <v>0</v>
      </c>
      <c r="E16" s="52">
        <f>'TB ANNUEL'!F33</f>
        <v>0</v>
      </c>
      <c r="F16" s="52">
        <f>'TB ANNUEL'!G33</f>
        <v>0</v>
      </c>
      <c r="G16" s="52">
        <f>'TB ANNUEL'!H33</f>
        <v>0</v>
      </c>
      <c r="H16" s="52">
        <f>'TB ANNUEL'!I33</f>
        <v>0</v>
      </c>
      <c r="I16" s="52">
        <f>'TB ANNUEL'!J33</f>
        <v>0</v>
      </c>
      <c r="J16" s="52">
        <f>'TB ANNUEL'!K33</f>
        <v>0</v>
      </c>
      <c r="K16" s="52">
        <f>'TB ANNUEL'!L33</f>
        <v>0</v>
      </c>
      <c r="L16" s="52">
        <f>'TB ANNUEL'!M33</f>
        <v>0</v>
      </c>
      <c r="M16" s="52">
        <f>'TB ANNUEL'!N33</f>
        <v>0</v>
      </c>
      <c r="N16" s="52">
        <f t="shared" si="0"/>
        <v>0</v>
      </c>
    </row>
    <row r="17" spans="1:14" x14ac:dyDescent="0.25">
      <c r="A17" s="30" t="str">
        <f>'TB ANNUEL'!B34</f>
        <v>Cadeaux</v>
      </c>
      <c r="B17" s="52">
        <f>'TB ANNUEL'!C34</f>
        <v>1450</v>
      </c>
      <c r="C17" s="52">
        <f>'TB ANNUEL'!D34</f>
        <v>1500</v>
      </c>
      <c r="D17" s="52">
        <f>'TB ANNUEL'!E34</f>
        <v>0</v>
      </c>
      <c r="E17" s="52">
        <f>'TB ANNUEL'!F34</f>
        <v>0</v>
      </c>
      <c r="F17" s="52">
        <f>'TB ANNUEL'!G34</f>
        <v>0</v>
      </c>
      <c r="G17" s="52">
        <f>'TB ANNUEL'!H34</f>
        <v>0</v>
      </c>
      <c r="H17" s="52">
        <f>'TB ANNUEL'!I34</f>
        <v>0</v>
      </c>
      <c r="I17" s="52">
        <f>'TB ANNUEL'!J34</f>
        <v>0</v>
      </c>
      <c r="J17" s="52">
        <f>'TB ANNUEL'!K34</f>
        <v>0</v>
      </c>
      <c r="K17" s="52">
        <f>'TB ANNUEL'!L34</f>
        <v>0</v>
      </c>
      <c r="L17" s="52">
        <f>'TB ANNUEL'!M34</f>
        <v>0</v>
      </c>
      <c r="M17" s="52">
        <f>'TB ANNUEL'!N34</f>
        <v>0</v>
      </c>
      <c r="N17" s="52">
        <f t="shared" si="0"/>
        <v>2950</v>
      </c>
    </row>
    <row r="18" spans="1:14" x14ac:dyDescent="0.25">
      <c r="A18" s="30" t="str">
        <f>'TB ANNUEL'!B35</f>
        <v>Charité</v>
      </c>
      <c r="B18" s="52">
        <f>'TB ANNUEL'!C35</f>
        <v>200</v>
      </c>
      <c r="C18" s="52">
        <f>'TB ANNUEL'!D35</f>
        <v>0</v>
      </c>
      <c r="D18" s="52">
        <f>'TB ANNUEL'!E35</f>
        <v>0</v>
      </c>
      <c r="E18" s="52">
        <f>'TB ANNUEL'!F35</f>
        <v>0</v>
      </c>
      <c r="F18" s="52">
        <f>'TB ANNUEL'!G35</f>
        <v>0</v>
      </c>
      <c r="G18" s="52">
        <f>'TB ANNUEL'!H35</f>
        <v>0</v>
      </c>
      <c r="H18" s="52">
        <f>'TB ANNUEL'!I35</f>
        <v>0</v>
      </c>
      <c r="I18" s="52">
        <f>'TB ANNUEL'!J35</f>
        <v>0</v>
      </c>
      <c r="J18" s="52">
        <f>'TB ANNUEL'!K35</f>
        <v>0</v>
      </c>
      <c r="K18" s="52">
        <f>'TB ANNUEL'!L35</f>
        <v>0</v>
      </c>
      <c r="L18" s="52">
        <f>'TB ANNUEL'!M35</f>
        <v>0</v>
      </c>
      <c r="M18" s="52">
        <f>'TB ANNUEL'!N35</f>
        <v>0</v>
      </c>
      <c r="N18" s="52">
        <f t="shared" si="0"/>
        <v>200</v>
      </c>
    </row>
    <row r="19" spans="1:14" x14ac:dyDescent="0.25">
      <c r="A19" s="30" t="str">
        <f>'TB ANNUEL'!B36</f>
        <v>Sport</v>
      </c>
      <c r="B19" s="52">
        <f>'TB ANNUEL'!C36</f>
        <v>0</v>
      </c>
      <c r="C19" s="52">
        <f>'TB ANNUEL'!D36</f>
        <v>0</v>
      </c>
      <c r="D19" s="52">
        <f>'TB ANNUEL'!E36</f>
        <v>0</v>
      </c>
      <c r="E19" s="52">
        <f>'TB ANNUEL'!F36</f>
        <v>0</v>
      </c>
      <c r="F19" s="52">
        <f>'TB ANNUEL'!G36</f>
        <v>0</v>
      </c>
      <c r="G19" s="52">
        <f>'TB ANNUEL'!H36</f>
        <v>0</v>
      </c>
      <c r="H19" s="52">
        <f>'TB ANNUEL'!I36</f>
        <v>0</v>
      </c>
      <c r="I19" s="52">
        <f>'TB ANNUEL'!J36</f>
        <v>0</v>
      </c>
      <c r="J19" s="52">
        <f>'TB ANNUEL'!K36</f>
        <v>0</v>
      </c>
      <c r="K19" s="52">
        <f>'TB ANNUEL'!L36</f>
        <v>0</v>
      </c>
      <c r="L19" s="52">
        <f>'TB ANNUEL'!M36</f>
        <v>0</v>
      </c>
      <c r="M19" s="52">
        <f>'TB ANNUEL'!N36</f>
        <v>0</v>
      </c>
      <c r="N19" s="52">
        <f t="shared" si="0"/>
        <v>0</v>
      </c>
    </row>
    <row r="20" spans="1:14" x14ac:dyDescent="0.25">
      <c r="A20" s="30" t="str">
        <f>'TB ANNUEL'!B37</f>
        <v xml:space="preserve">Education </v>
      </c>
      <c r="B20" s="52">
        <f>'TB ANNUEL'!C37</f>
        <v>0</v>
      </c>
      <c r="C20" s="52">
        <f>'TB ANNUEL'!D37</f>
        <v>0</v>
      </c>
      <c r="D20" s="52">
        <f>'TB ANNUEL'!E37</f>
        <v>0</v>
      </c>
      <c r="E20" s="52">
        <f>'TB ANNUEL'!F37</f>
        <v>0</v>
      </c>
      <c r="F20" s="52">
        <f>'TB ANNUEL'!G37</f>
        <v>0</v>
      </c>
      <c r="G20" s="52">
        <f>'TB ANNUEL'!H37</f>
        <v>0</v>
      </c>
      <c r="H20" s="52">
        <f>'TB ANNUEL'!I37</f>
        <v>0</v>
      </c>
      <c r="I20" s="52">
        <f>'TB ANNUEL'!J37</f>
        <v>0</v>
      </c>
      <c r="J20" s="52">
        <f>'TB ANNUEL'!K37</f>
        <v>0</v>
      </c>
      <c r="K20" s="52">
        <f>'TB ANNUEL'!L37</f>
        <v>0</v>
      </c>
      <c r="L20" s="52">
        <f>'TB ANNUEL'!M37</f>
        <v>0</v>
      </c>
      <c r="M20" s="52">
        <f>'TB ANNUEL'!N37</f>
        <v>0</v>
      </c>
      <c r="N20" s="52">
        <f t="shared" si="0"/>
        <v>0</v>
      </c>
    </row>
    <row r="21" spans="1:14" x14ac:dyDescent="0.25">
      <c r="A21" s="30" t="str">
        <f>'TB ANNUEL'!B38</f>
        <v>Crédit</v>
      </c>
      <c r="B21" s="52">
        <f>'TB ANNUEL'!C38</f>
        <v>0</v>
      </c>
      <c r="C21" s="52">
        <f>'TB ANNUEL'!D38</f>
        <v>0</v>
      </c>
      <c r="D21" s="52">
        <f>'TB ANNUEL'!E38</f>
        <v>0</v>
      </c>
      <c r="E21" s="52">
        <f>'TB ANNUEL'!F38</f>
        <v>0</v>
      </c>
      <c r="F21" s="52">
        <f>'TB ANNUEL'!G38</f>
        <v>0</v>
      </c>
      <c r="G21" s="52">
        <f>'TB ANNUEL'!H38</f>
        <v>0</v>
      </c>
      <c r="H21" s="52">
        <f>'TB ANNUEL'!I38</f>
        <v>0</v>
      </c>
      <c r="I21" s="52">
        <f>'TB ANNUEL'!J38</f>
        <v>0</v>
      </c>
      <c r="J21" s="52">
        <f>'TB ANNUEL'!K38</f>
        <v>0</v>
      </c>
      <c r="K21" s="52">
        <f>'TB ANNUEL'!L38</f>
        <v>0</v>
      </c>
      <c r="L21" s="52">
        <f>'TB ANNUEL'!M38</f>
        <v>0</v>
      </c>
      <c r="M21" s="52">
        <f>'TB ANNUEL'!N38</f>
        <v>0</v>
      </c>
      <c r="N21" s="52">
        <f t="shared" si="0"/>
        <v>0</v>
      </c>
    </row>
    <row r="22" spans="1:14" x14ac:dyDescent="0.25">
      <c r="A22" s="30" t="str">
        <f>'TB ANNUEL'!B39</f>
        <v>Santé</v>
      </c>
      <c r="B22" s="52">
        <f>'TB ANNUEL'!C39</f>
        <v>0</v>
      </c>
      <c r="C22" s="52">
        <f>'TB ANNUEL'!D39</f>
        <v>0</v>
      </c>
      <c r="D22" s="52">
        <f>'TB ANNUEL'!E39</f>
        <v>0</v>
      </c>
      <c r="E22" s="52">
        <f>'TB ANNUEL'!F39</f>
        <v>0</v>
      </c>
      <c r="F22" s="52">
        <f>'TB ANNUEL'!G39</f>
        <v>0</v>
      </c>
      <c r="G22" s="52">
        <f>'TB ANNUEL'!H39</f>
        <v>0</v>
      </c>
      <c r="H22" s="52">
        <f>'TB ANNUEL'!I39</f>
        <v>0</v>
      </c>
      <c r="I22" s="52">
        <f>'TB ANNUEL'!J39</f>
        <v>0</v>
      </c>
      <c r="J22" s="52">
        <f>'TB ANNUEL'!K39</f>
        <v>0</v>
      </c>
      <c r="K22" s="52">
        <f>'TB ANNUEL'!L39</f>
        <v>0</v>
      </c>
      <c r="L22" s="52">
        <f>'TB ANNUEL'!M39</f>
        <v>0</v>
      </c>
      <c r="M22" s="52">
        <f>'TB ANNUEL'!N39</f>
        <v>0</v>
      </c>
      <c r="N22" s="52">
        <f t="shared" si="0"/>
        <v>0</v>
      </c>
    </row>
    <row r="23" spans="1:14" x14ac:dyDescent="0.25">
      <c r="A23" s="30" t="str">
        <f>'TB ANNUEL'!B40</f>
        <v>Enfants</v>
      </c>
      <c r="B23" s="52">
        <f>'TB ANNUEL'!C44</f>
        <v>0</v>
      </c>
      <c r="C23" s="52">
        <f>'TB ANNUEL'!D44</f>
        <v>0</v>
      </c>
      <c r="D23" s="52">
        <f>'TB ANNUEL'!E44</f>
        <v>0</v>
      </c>
      <c r="E23" s="52">
        <f>'TB ANNUEL'!F44</f>
        <v>0</v>
      </c>
      <c r="F23" s="52">
        <f>'TB ANNUEL'!G44</f>
        <v>0</v>
      </c>
      <c r="G23" s="52">
        <f>'TB ANNUEL'!H44</f>
        <v>0</v>
      </c>
      <c r="H23" s="52">
        <f>'TB ANNUEL'!I44</f>
        <v>0</v>
      </c>
      <c r="I23" s="52">
        <f>'TB ANNUEL'!J44</f>
        <v>0</v>
      </c>
      <c r="J23" s="52">
        <f>'TB ANNUEL'!K44</f>
        <v>0</v>
      </c>
      <c r="K23" s="52">
        <f>'TB ANNUEL'!L44</f>
        <v>0</v>
      </c>
      <c r="L23" s="52">
        <f>'TB ANNUEL'!M44</f>
        <v>0</v>
      </c>
      <c r="M23" s="52">
        <f>'TB ANNUEL'!N44</f>
        <v>0</v>
      </c>
      <c r="N23" s="52">
        <f t="shared" si="0"/>
        <v>0</v>
      </c>
    </row>
    <row r="24" spans="1:14" x14ac:dyDescent="0.25">
      <c r="A24" s="30" t="str">
        <f>'TB ANNUEL'!B41</f>
        <v>Impôts</v>
      </c>
      <c r="B24" s="52">
        <f>'TB ANNUEL'!C45</f>
        <v>5700</v>
      </c>
      <c r="C24" s="52">
        <f>'TB ANNUEL'!D45</f>
        <v>6300</v>
      </c>
      <c r="D24" s="52">
        <f>'TB ANNUEL'!E45</f>
        <v>0</v>
      </c>
      <c r="E24" s="52">
        <f>'TB ANNUEL'!F45</f>
        <v>0</v>
      </c>
      <c r="F24" s="52">
        <f>'TB ANNUEL'!G45</f>
        <v>0</v>
      </c>
      <c r="G24" s="52">
        <f>'TB ANNUEL'!H45</f>
        <v>0</v>
      </c>
      <c r="H24" s="52">
        <f>'TB ANNUEL'!I45</f>
        <v>0</v>
      </c>
      <c r="I24" s="52">
        <f>'TB ANNUEL'!J45</f>
        <v>0</v>
      </c>
      <c r="J24" s="52">
        <f>'TB ANNUEL'!K45</f>
        <v>0</v>
      </c>
      <c r="K24" s="52">
        <f>'TB ANNUEL'!L45</f>
        <v>0</v>
      </c>
      <c r="L24" s="52">
        <f>'TB ANNUEL'!M45</f>
        <v>0</v>
      </c>
      <c r="M24" s="52">
        <f>'TB ANNUEL'!N45</f>
        <v>0</v>
      </c>
      <c r="N24" s="52">
        <f t="shared" si="0"/>
        <v>12000</v>
      </c>
    </row>
    <row r="25" spans="1:14" x14ac:dyDescent="0.25">
      <c r="A25" s="30" t="str">
        <f>'TB ANNUEL'!B42</f>
        <v>Assurances</v>
      </c>
      <c r="B25" s="52">
        <f>'TB ANNUEL'!C46</f>
        <v>0</v>
      </c>
      <c r="C25" s="52">
        <f>'TB ANNUEL'!D46</f>
        <v>0</v>
      </c>
      <c r="D25" s="52">
        <f>'TB ANNUEL'!E46</f>
        <v>0</v>
      </c>
      <c r="E25" s="52">
        <f>'TB ANNUEL'!F46</f>
        <v>0</v>
      </c>
      <c r="F25" s="52">
        <f>'TB ANNUEL'!G46</f>
        <v>0</v>
      </c>
      <c r="G25" s="52">
        <f>'TB ANNUEL'!H46</f>
        <v>0</v>
      </c>
      <c r="H25" s="52">
        <f>'TB ANNUEL'!I46</f>
        <v>0</v>
      </c>
      <c r="I25" s="52">
        <f>'TB ANNUEL'!J46</f>
        <v>0</v>
      </c>
      <c r="J25" s="52">
        <f>'TB ANNUEL'!K46</f>
        <v>0</v>
      </c>
      <c r="K25" s="52">
        <f>'TB ANNUEL'!L46</f>
        <v>0</v>
      </c>
      <c r="L25" s="52">
        <f>'TB ANNUEL'!M46</f>
        <v>0</v>
      </c>
      <c r="M25" s="52">
        <f>'TB ANNUEL'!N46</f>
        <v>0</v>
      </c>
      <c r="N25" s="52">
        <f t="shared" si="0"/>
        <v>0</v>
      </c>
    </row>
    <row r="26" spans="1:14" x14ac:dyDescent="0.25">
      <c r="A26" s="30" t="str">
        <f>'TB ANNUEL'!B43</f>
        <v>Prêts</v>
      </c>
      <c r="B26" s="52">
        <f>'TB ANNUEL'!C47</f>
        <v>0</v>
      </c>
      <c r="C26" s="52">
        <f>'TB ANNUEL'!D47</f>
        <v>0</v>
      </c>
      <c r="D26" s="52">
        <f>'TB ANNUEL'!E47</f>
        <v>0</v>
      </c>
      <c r="E26" s="52">
        <f>'TB ANNUEL'!F47</f>
        <v>0</v>
      </c>
      <c r="F26" s="52">
        <f>'TB ANNUEL'!G47</f>
        <v>0</v>
      </c>
      <c r="G26" s="52">
        <f>'TB ANNUEL'!H47</f>
        <v>0</v>
      </c>
      <c r="H26" s="52">
        <f>'TB ANNUEL'!I47</f>
        <v>0</v>
      </c>
      <c r="I26" s="52">
        <f>'TB ANNUEL'!J47</f>
        <v>0</v>
      </c>
      <c r="J26" s="52">
        <f>'TB ANNUEL'!K47</f>
        <v>0</v>
      </c>
      <c r="K26" s="52">
        <f>'TB ANNUEL'!L47</f>
        <v>0</v>
      </c>
      <c r="L26" s="52">
        <f>'TB ANNUEL'!M47</f>
        <v>0</v>
      </c>
      <c r="M26" s="52">
        <f>'TB ANNUEL'!N47</f>
        <v>0</v>
      </c>
      <c r="N26" s="52">
        <f t="shared" si="0"/>
        <v>0</v>
      </c>
    </row>
    <row r="27" spans="1:14" x14ac:dyDescent="0.25">
      <c r="A27" s="30" t="str">
        <f>'TB ANNUEL'!B44</f>
        <v>Autres</v>
      </c>
      <c r="B27" s="52">
        <f>'TB ANNUEL'!C48</f>
        <v>0</v>
      </c>
      <c r="C27" s="52">
        <f>'TB ANNUEL'!D48</f>
        <v>0</v>
      </c>
      <c r="D27" s="52">
        <f>'TB ANNUEL'!E48</f>
        <v>0</v>
      </c>
      <c r="E27" s="52">
        <f>'TB ANNUEL'!F48</f>
        <v>0</v>
      </c>
      <c r="F27" s="52">
        <f>'TB ANNUEL'!G48</f>
        <v>0</v>
      </c>
      <c r="G27" s="52">
        <f>'TB ANNUEL'!H48</f>
        <v>0</v>
      </c>
      <c r="H27" s="52">
        <f>'TB ANNUEL'!I48</f>
        <v>0</v>
      </c>
      <c r="I27" s="52">
        <f>'TB ANNUEL'!J48</f>
        <v>0</v>
      </c>
      <c r="J27" s="52">
        <f>'TB ANNUEL'!K48</f>
        <v>0</v>
      </c>
      <c r="K27" s="52">
        <f>'TB ANNUEL'!L48</f>
        <v>0</v>
      </c>
      <c r="L27" s="52">
        <f>'TB ANNUEL'!M48</f>
        <v>0</v>
      </c>
      <c r="M27" s="52">
        <f>'TB ANNUEL'!N48</f>
        <v>0</v>
      </c>
      <c r="N27" s="52">
        <f t="shared" si="0"/>
        <v>0</v>
      </c>
    </row>
    <row r="29" spans="1:14" x14ac:dyDescent="0.25">
      <c r="A29" s="30" t="str">
        <f t="shared" ref="A29:A42" si="1">A10</f>
        <v>Foyer</v>
      </c>
      <c r="B29" s="52">
        <f>N10</f>
        <v>4500</v>
      </c>
    </row>
    <row r="30" spans="1:14" x14ac:dyDescent="0.25">
      <c r="A30" s="30" t="str">
        <f t="shared" si="1"/>
        <v>Repas</v>
      </c>
      <c r="B30" s="52">
        <f t="shared" ref="B30:B40" si="2">N11</f>
        <v>1150</v>
      </c>
    </row>
    <row r="31" spans="1:14" x14ac:dyDescent="0.25">
      <c r="A31" s="30" t="str">
        <f t="shared" si="1"/>
        <v>Transport</v>
      </c>
      <c r="B31" s="52">
        <f t="shared" si="2"/>
        <v>1400</v>
      </c>
    </row>
    <row r="32" spans="1:14" x14ac:dyDescent="0.25">
      <c r="A32" s="30" t="str">
        <f t="shared" si="1"/>
        <v>Voyage</v>
      </c>
      <c r="B32" s="52">
        <f t="shared" si="2"/>
        <v>300</v>
      </c>
    </row>
    <row r="33" spans="1:2" x14ac:dyDescent="0.25">
      <c r="A33" s="30" t="str">
        <f t="shared" si="1"/>
        <v>Self_Care</v>
      </c>
      <c r="B33" s="52">
        <f t="shared" si="2"/>
        <v>1200</v>
      </c>
    </row>
    <row r="34" spans="1:2" x14ac:dyDescent="0.25">
      <c r="A34" s="30" t="str">
        <f t="shared" si="1"/>
        <v>Loisirs</v>
      </c>
      <c r="B34" s="52">
        <f t="shared" si="2"/>
        <v>0</v>
      </c>
    </row>
    <row r="35" spans="1:2" x14ac:dyDescent="0.25">
      <c r="A35" s="30" t="str">
        <f t="shared" si="1"/>
        <v>Animaux</v>
      </c>
      <c r="B35" s="52">
        <f t="shared" si="2"/>
        <v>0</v>
      </c>
    </row>
    <row r="36" spans="1:2" x14ac:dyDescent="0.25">
      <c r="A36" s="30" t="str">
        <f t="shared" si="1"/>
        <v>Cadeaux</v>
      </c>
      <c r="B36" s="52">
        <f t="shared" si="2"/>
        <v>2950</v>
      </c>
    </row>
    <row r="37" spans="1:2" x14ac:dyDescent="0.25">
      <c r="A37" s="30" t="str">
        <f t="shared" si="1"/>
        <v>Charité</v>
      </c>
      <c r="B37" s="52">
        <f t="shared" si="2"/>
        <v>200</v>
      </c>
    </row>
    <row r="38" spans="1:2" x14ac:dyDescent="0.25">
      <c r="A38" s="30" t="str">
        <f t="shared" si="1"/>
        <v>Sport</v>
      </c>
      <c r="B38" s="52">
        <f t="shared" si="2"/>
        <v>0</v>
      </c>
    </row>
    <row r="39" spans="1:2" x14ac:dyDescent="0.25">
      <c r="A39" s="30" t="str">
        <f t="shared" si="1"/>
        <v xml:space="preserve">Education </v>
      </c>
      <c r="B39" s="52">
        <f t="shared" si="2"/>
        <v>0</v>
      </c>
    </row>
    <row r="40" spans="1:2" x14ac:dyDescent="0.25">
      <c r="A40" s="30" t="str">
        <f t="shared" si="1"/>
        <v>Crédit</v>
      </c>
      <c r="B40" s="52">
        <f t="shared" si="2"/>
        <v>0</v>
      </c>
    </row>
    <row r="41" spans="1:2" x14ac:dyDescent="0.25">
      <c r="A41" s="30" t="str">
        <f t="shared" si="1"/>
        <v>Santé</v>
      </c>
      <c r="B41" s="52">
        <f>N22</f>
        <v>0</v>
      </c>
    </row>
    <row r="42" spans="1:2" x14ac:dyDescent="0.25">
      <c r="A42" s="30" t="str">
        <f t="shared" si="1"/>
        <v>Enfants</v>
      </c>
      <c r="B42" s="52">
        <f>N23</f>
        <v>0</v>
      </c>
    </row>
    <row r="43" spans="1:2" x14ac:dyDescent="0.25">
      <c r="A43" s="30" t="str">
        <f t="shared" ref="A43:A45" si="3">A24</f>
        <v>Impôts</v>
      </c>
      <c r="B43" s="52">
        <f t="shared" ref="B43:B46" si="4">N24</f>
        <v>12000</v>
      </c>
    </row>
    <row r="44" spans="1:2" x14ac:dyDescent="0.25">
      <c r="A44" s="30" t="str">
        <f t="shared" si="3"/>
        <v>Assurances</v>
      </c>
      <c r="B44" s="52">
        <f t="shared" si="4"/>
        <v>0</v>
      </c>
    </row>
    <row r="45" spans="1:2" x14ac:dyDescent="0.25">
      <c r="A45" s="30" t="str">
        <f t="shared" si="3"/>
        <v>Prêts</v>
      </c>
      <c r="B45" s="52">
        <f t="shared" si="4"/>
        <v>0</v>
      </c>
    </row>
    <row r="46" spans="1:2" x14ac:dyDescent="0.25">
      <c r="A46" s="30" t="str">
        <f>A27</f>
        <v>Autres</v>
      </c>
      <c r="B46" s="52">
        <f t="shared" si="4"/>
        <v>0</v>
      </c>
    </row>
  </sheetData>
  <sheetProtection algorithmName="SHA-512" hashValue="2l8VqI4bwy3Jv+Zg/+yuxGlQ+yDG5rrXbIasbSNousKwsmq3++yJ2HkuZ/hNUNTcgej//1UeaTwQpej0AE72fg==" saltValue="eZ9PHiS1LqGESLoKm5HG1Q==" spinCount="100000" sheet="1" objects="1" scenarios="1"/>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0"/>
  <dimension ref="A2:B5"/>
  <sheetViews>
    <sheetView workbookViewId="0">
      <selection activeCell="F7" sqref="F7"/>
    </sheetView>
  </sheetViews>
  <sheetFormatPr baseColWidth="10" defaultColWidth="11.42578125" defaultRowHeight="15" x14ac:dyDescent="0.25"/>
  <cols>
    <col min="1" max="1" width="21.5703125" style="1" customWidth="1"/>
    <col min="2" max="16384" width="11.42578125" style="1"/>
  </cols>
  <sheetData>
    <row r="2" spans="1:2" x14ac:dyDescent="0.25">
      <c r="A2" s="53" t="s">
        <v>75</v>
      </c>
      <c r="B2" s="53">
        <f>Tableau6[[#Totals],[Colonne2]]</f>
        <v>8000</v>
      </c>
    </row>
    <row r="3" spans="1:2" x14ac:dyDescent="0.25">
      <c r="A3" s="53" t="s">
        <v>50</v>
      </c>
      <c r="B3" s="54">
        <f>'TB MENSUEL'!C35</f>
        <v>5700</v>
      </c>
    </row>
    <row r="4" spans="1:2" x14ac:dyDescent="0.25">
      <c r="A4" s="53" t="s">
        <v>73</v>
      </c>
      <c r="B4" s="53">
        <f>'TB MENSUEL'!J6</f>
        <v>2000</v>
      </c>
    </row>
    <row r="5" spans="1:2" x14ac:dyDescent="0.25">
      <c r="A5" s="53" t="s">
        <v>76</v>
      </c>
      <c r="B5" s="54">
        <f>'TB MENSUEL'!P6</f>
        <v>300</v>
      </c>
    </row>
  </sheetData>
  <sheetProtection algorithmName="SHA-512" hashValue="Uoho6J0VzZ6hVCQ18oogsxI6ujXdBSGy7q5L/5P02l71peqdfx63h/g9WZfWju90BzOi+xNGOF/B6hZ4qLY6Sg==" saltValue="UQxB8NEof8UUhYQGZyW9+g==" spinCount="100000" sheet="1" objects="1" scenarios="1"/>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400-000000000000}">
  <sheetPr codeName="Sheet28"/>
  <dimension ref="B2:N18"/>
  <sheetViews>
    <sheetView topLeftCell="B1" workbookViewId="0">
      <selection activeCell="G19" sqref="G19"/>
    </sheetView>
  </sheetViews>
  <sheetFormatPr baseColWidth="10" defaultColWidth="11.42578125" defaultRowHeight="15" x14ac:dyDescent="0.25"/>
  <cols>
    <col min="2" max="2" width="29.85546875" customWidth="1"/>
  </cols>
  <sheetData>
    <row r="2" spans="2:14" x14ac:dyDescent="0.25">
      <c r="B2" s="30"/>
      <c r="C2" s="30" t="s">
        <v>115</v>
      </c>
      <c r="D2" s="30" t="s">
        <v>116</v>
      </c>
      <c r="E2" s="30" t="s">
        <v>117</v>
      </c>
      <c r="F2" s="30" t="s">
        <v>118</v>
      </c>
      <c r="G2" s="30" t="s">
        <v>119</v>
      </c>
      <c r="H2" s="30" t="s">
        <v>120</v>
      </c>
      <c r="I2" s="30" t="s">
        <v>121</v>
      </c>
      <c r="J2" s="30" t="s">
        <v>122</v>
      </c>
      <c r="K2" s="30" t="s">
        <v>123</v>
      </c>
      <c r="L2" s="30" t="s">
        <v>124</v>
      </c>
      <c r="M2" s="30" t="s">
        <v>125</v>
      </c>
      <c r="N2" s="30" t="s">
        <v>126</v>
      </c>
    </row>
    <row r="3" spans="2:14" x14ac:dyDescent="0.25">
      <c r="B3" s="30" t="s">
        <v>132</v>
      </c>
      <c r="C3" s="97" t="e">
        <f>#REF!</f>
        <v>#REF!</v>
      </c>
      <c r="D3" s="97" t="e">
        <f>#REF!</f>
        <v>#REF!</v>
      </c>
      <c r="E3" s="97" t="e">
        <f>#REF!</f>
        <v>#REF!</v>
      </c>
      <c r="F3" s="97" t="e">
        <f>#REF!</f>
        <v>#REF!</v>
      </c>
      <c r="G3" s="97" t="e">
        <f>#REF!</f>
        <v>#REF!</v>
      </c>
      <c r="H3" s="97" t="e">
        <f>#REF!</f>
        <v>#REF!</v>
      </c>
      <c r="I3" s="97" t="e">
        <f>#REF!</f>
        <v>#REF!</v>
      </c>
      <c r="J3" s="97" t="e">
        <f>#REF!</f>
        <v>#REF!</v>
      </c>
      <c r="K3" s="97" t="e">
        <f>#REF!</f>
        <v>#REF!</v>
      </c>
      <c r="L3" s="97" t="e">
        <f>#REF!</f>
        <v>#REF!</v>
      </c>
      <c r="M3" s="97" t="e">
        <f>#REF!</f>
        <v>#REF!</v>
      </c>
      <c r="N3" s="97" t="e">
        <f>#REF!</f>
        <v>#REF!</v>
      </c>
    </row>
    <row r="4" spans="2:14" x14ac:dyDescent="0.25">
      <c r="B4" s="30" t="s">
        <v>133</v>
      </c>
      <c r="C4" s="30">
        <f>LAUNCHPAD!C25</f>
        <v>8000</v>
      </c>
      <c r="D4" s="30">
        <f>LAUNCHPAD!D25</f>
        <v>8300</v>
      </c>
      <c r="E4" s="30">
        <f>LAUNCHPAD!E25</f>
        <v>0</v>
      </c>
      <c r="F4" s="30">
        <f>LAUNCHPAD!F25</f>
        <v>0</v>
      </c>
      <c r="G4" s="30">
        <f>LAUNCHPAD!G25</f>
        <v>0</v>
      </c>
      <c r="H4" s="30">
        <f>LAUNCHPAD!H25</f>
        <v>0</v>
      </c>
      <c r="I4" s="30">
        <f>LAUNCHPAD!I25</f>
        <v>0</v>
      </c>
      <c r="J4" s="30">
        <f>LAUNCHPAD!J25</f>
        <v>0</v>
      </c>
      <c r="K4" s="30">
        <f>LAUNCHPAD!K25</f>
        <v>0</v>
      </c>
      <c r="L4" s="30">
        <f>LAUNCHPAD!L25</f>
        <v>0</v>
      </c>
      <c r="M4" s="30">
        <f>LAUNCHPAD!M25</f>
        <v>0</v>
      </c>
      <c r="N4" s="30">
        <f>LAUNCHPAD!N25</f>
        <v>0</v>
      </c>
    </row>
    <row r="7" spans="2:14" x14ac:dyDescent="0.25">
      <c r="B7" s="30"/>
      <c r="C7" s="30" t="s">
        <v>115</v>
      </c>
      <c r="D7" s="30" t="s">
        <v>116</v>
      </c>
      <c r="E7" s="30" t="s">
        <v>117</v>
      </c>
      <c r="F7" s="30" t="s">
        <v>118</v>
      </c>
      <c r="G7" s="30" t="s">
        <v>119</v>
      </c>
      <c r="H7" s="30" t="s">
        <v>120</v>
      </c>
      <c r="I7" s="30" t="s">
        <v>121</v>
      </c>
      <c r="J7" s="30" t="s">
        <v>122</v>
      </c>
      <c r="K7" s="30" t="s">
        <v>123</v>
      </c>
      <c r="L7" s="30" t="s">
        <v>124</v>
      </c>
      <c r="M7" s="30" t="s">
        <v>125</v>
      </c>
      <c r="N7" s="30" t="s">
        <v>126</v>
      </c>
    </row>
    <row r="8" spans="2:14" x14ac:dyDescent="0.25">
      <c r="B8" s="30" t="s">
        <v>134</v>
      </c>
      <c r="C8" s="97" t="e">
        <f>#REF!</f>
        <v>#REF!</v>
      </c>
      <c r="D8" s="97" t="e">
        <f>#REF!</f>
        <v>#REF!</v>
      </c>
      <c r="E8" s="97" t="e">
        <f>#REF!</f>
        <v>#REF!</v>
      </c>
      <c r="F8" s="97" t="e">
        <f>#REF!</f>
        <v>#REF!</v>
      </c>
      <c r="G8" s="97" t="e">
        <f>#REF!</f>
        <v>#REF!</v>
      </c>
      <c r="H8" s="97" t="e">
        <f>#REF!</f>
        <v>#REF!</v>
      </c>
      <c r="I8" s="97" t="e">
        <f>#REF!</f>
        <v>#REF!</v>
      </c>
      <c r="J8" s="97" t="e">
        <f>#REF!</f>
        <v>#REF!</v>
      </c>
      <c r="K8" s="97" t="e">
        <f>#REF!</f>
        <v>#REF!</v>
      </c>
      <c r="L8" s="97" t="e">
        <f>#REF!</f>
        <v>#REF!</v>
      </c>
      <c r="M8" s="97" t="e">
        <f>#REF!</f>
        <v>#REF!</v>
      </c>
      <c r="N8" s="97" t="e">
        <f>#REF!</f>
        <v>#REF!</v>
      </c>
    </row>
    <row r="9" spans="2:14" x14ac:dyDescent="0.25">
      <c r="B9" s="30" t="s">
        <v>135</v>
      </c>
      <c r="C9" s="30">
        <f>LAUNCHPAD!C28</f>
        <v>2000</v>
      </c>
      <c r="D9" s="30">
        <f>LAUNCHPAD!D28</f>
        <v>2000</v>
      </c>
      <c r="E9" s="30">
        <f>LAUNCHPAD!E28</f>
        <v>0</v>
      </c>
      <c r="F9" s="30">
        <f>LAUNCHPAD!F28</f>
        <v>0</v>
      </c>
      <c r="G9" s="30">
        <f>LAUNCHPAD!G28</f>
        <v>0</v>
      </c>
      <c r="H9" s="30">
        <f>LAUNCHPAD!H28</f>
        <v>0</v>
      </c>
      <c r="I9" s="30">
        <f>LAUNCHPAD!I28</f>
        <v>0</v>
      </c>
      <c r="J9" s="30">
        <f>LAUNCHPAD!J28</f>
        <v>0</v>
      </c>
      <c r="K9" s="30">
        <f>LAUNCHPAD!K28</f>
        <v>0</v>
      </c>
      <c r="L9" s="30">
        <f>LAUNCHPAD!L28</f>
        <v>0</v>
      </c>
      <c r="M9" s="30">
        <f>LAUNCHPAD!M28</f>
        <v>0</v>
      </c>
      <c r="N9" s="30">
        <f>LAUNCHPAD!N28</f>
        <v>0</v>
      </c>
    </row>
    <row r="11" spans="2:14" x14ac:dyDescent="0.25">
      <c r="B11" s="30"/>
      <c r="C11" s="30" t="s">
        <v>115</v>
      </c>
      <c r="D11" s="30" t="s">
        <v>116</v>
      </c>
      <c r="E11" s="30" t="s">
        <v>117</v>
      </c>
      <c r="F11" s="30" t="s">
        <v>118</v>
      </c>
      <c r="G11" s="30" t="s">
        <v>119</v>
      </c>
      <c r="H11" s="30" t="s">
        <v>120</v>
      </c>
      <c r="I11" s="30" t="s">
        <v>121</v>
      </c>
      <c r="J11" s="30" t="s">
        <v>122</v>
      </c>
      <c r="K11" s="30" t="s">
        <v>123</v>
      </c>
      <c r="L11" s="30" t="s">
        <v>124</v>
      </c>
      <c r="M11" s="30" t="s">
        <v>125</v>
      </c>
      <c r="N11" s="30" t="s">
        <v>126</v>
      </c>
    </row>
    <row r="12" spans="2:14" x14ac:dyDescent="0.25">
      <c r="B12" s="30" t="s">
        <v>136</v>
      </c>
      <c r="C12" s="97" t="e">
        <f>#REF!</f>
        <v>#REF!</v>
      </c>
      <c r="D12" s="97" t="e">
        <f>#REF!</f>
        <v>#REF!</v>
      </c>
      <c r="E12" s="97" t="e">
        <f>#REF!</f>
        <v>#REF!</v>
      </c>
      <c r="F12" s="97" t="e">
        <f>#REF!</f>
        <v>#REF!</v>
      </c>
      <c r="G12" s="97" t="e">
        <f>#REF!</f>
        <v>#REF!</v>
      </c>
      <c r="H12" s="97" t="e">
        <f>#REF!</f>
        <v>#REF!</v>
      </c>
      <c r="I12" s="97" t="e">
        <f>#REF!</f>
        <v>#REF!</v>
      </c>
      <c r="J12" s="97" t="e">
        <f>#REF!</f>
        <v>#REF!</v>
      </c>
      <c r="K12" s="97" t="e">
        <f>#REF!</f>
        <v>#REF!</v>
      </c>
      <c r="L12" s="97" t="e">
        <f>#REF!</f>
        <v>#REF!</v>
      </c>
      <c r="M12" s="97" t="e">
        <f>#REF!</f>
        <v>#REF!</v>
      </c>
      <c r="N12" s="97" t="e">
        <f>#REF!</f>
        <v>#REF!</v>
      </c>
    </row>
    <row r="13" spans="2:14" x14ac:dyDescent="0.25">
      <c r="B13" s="30" t="s">
        <v>137</v>
      </c>
      <c r="C13" s="30">
        <f>Tableau4[[#Totals],[Janvier]]</f>
        <v>5700</v>
      </c>
      <c r="D13" s="30">
        <f>Tableau4[[#Totals],[Février]]</f>
        <v>6300</v>
      </c>
      <c r="E13" s="30">
        <f>Tableau4[[#Totals],[Mars]]</f>
        <v>0</v>
      </c>
      <c r="F13" s="30">
        <f>Tableau4[[#Totals],[Avril]]</f>
        <v>0</v>
      </c>
      <c r="G13" s="30">
        <f>Tableau4[[#Totals],[Mai]]</f>
        <v>0</v>
      </c>
      <c r="H13" s="30">
        <f>Tableau4[[#Totals],[Juin]]</f>
        <v>0</v>
      </c>
      <c r="I13" s="30">
        <f>Tableau4[[#Totals],[Juillet]]</f>
        <v>0</v>
      </c>
      <c r="J13" s="30">
        <f>Tableau4[[#Totals],[Août]]</f>
        <v>0</v>
      </c>
      <c r="K13" s="30">
        <f>Tableau4[[#Totals],[Septembre]]</f>
        <v>0</v>
      </c>
      <c r="L13" s="30">
        <f>Tableau4[[#Totals],[Octobre]]</f>
        <v>0</v>
      </c>
      <c r="M13" s="30">
        <f>Tableau4[[#Totals],[Novembre]]</f>
        <v>0</v>
      </c>
      <c r="N13" s="30">
        <f>Tableau4[[#Totals],[Décembre]]</f>
        <v>0</v>
      </c>
    </row>
    <row r="16" spans="2:14" x14ac:dyDescent="0.25">
      <c r="B16" s="30"/>
      <c r="C16" s="30" t="s">
        <v>115</v>
      </c>
      <c r="D16" s="30" t="s">
        <v>116</v>
      </c>
      <c r="E16" s="30" t="s">
        <v>117</v>
      </c>
      <c r="F16" s="30" t="s">
        <v>118</v>
      </c>
      <c r="G16" s="30" t="s">
        <v>119</v>
      </c>
      <c r="H16" s="30" t="s">
        <v>120</v>
      </c>
      <c r="I16" s="30" t="s">
        <v>121</v>
      </c>
      <c r="J16" s="30" t="s">
        <v>122</v>
      </c>
      <c r="K16" s="30" t="s">
        <v>123</v>
      </c>
      <c r="L16" s="30" t="s">
        <v>124</v>
      </c>
      <c r="M16" s="30" t="s">
        <v>125</v>
      </c>
      <c r="N16" s="30" t="s">
        <v>126</v>
      </c>
    </row>
    <row r="17" spans="2:14" x14ac:dyDescent="0.25">
      <c r="B17" s="30" t="s">
        <v>139</v>
      </c>
      <c r="C17" s="97" t="e">
        <f>#REF!</f>
        <v>#REF!</v>
      </c>
      <c r="D17" s="97" t="e">
        <f>#REF!</f>
        <v>#REF!</v>
      </c>
      <c r="E17" s="97" t="e">
        <f>#REF!</f>
        <v>#REF!</v>
      </c>
      <c r="F17" s="97" t="e">
        <f>#REF!</f>
        <v>#REF!</v>
      </c>
      <c r="G17" s="97" t="e">
        <f>#REF!</f>
        <v>#REF!</v>
      </c>
      <c r="H17" s="97" t="e">
        <f>#REF!</f>
        <v>#REF!</v>
      </c>
      <c r="I17" s="97" t="e">
        <f>#REF!</f>
        <v>#REF!</v>
      </c>
      <c r="J17" s="97" t="e">
        <f>#REF!</f>
        <v>#REF!</v>
      </c>
      <c r="K17" s="97" t="e">
        <f>#REF!</f>
        <v>#REF!</v>
      </c>
      <c r="L17" s="97" t="e">
        <f>#REF!</f>
        <v>#REF!</v>
      </c>
      <c r="M17" s="97" t="e">
        <f>#REF!</f>
        <v>#REF!</v>
      </c>
      <c r="N17" s="97" t="e">
        <f>#REF!</f>
        <v>#REF!</v>
      </c>
    </row>
    <row r="18" spans="2:14" x14ac:dyDescent="0.25">
      <c r="B18" s="30" t="s">
        <v>138</v>
      </c>
      <c r="C18" s="30">
        <f>Tableau2[Janvier]</f>
        <v>300</v>
      </c>
      <c r="D18" s="30">
        <f>Tableau2[Février]</f>
        <v>0</v>
      </c>
      <c r="E18" s="30">
        <f>Tableau2[Mars]</f>
        <v>0</v>
      </c>
      <c r="F18" s="30">
        <f>Tableau2[Avril]</f>
        <v>0</v>
      </c>
      <c r="G18" s="30">
        <f>Tableau2[Mai]</f>
        <v>0</v>
      </c>
      <c r="H18" s="30">
        <f>Tableau2[Juin]</f>
        <v>0</v>
      </c>
      <c r="I18" s="30">
        <f>Tableau2[Juillet]</f>
        <v>0</v>
      </c>
      <c r="J18" s="30">
        <f>Tableau2[Août]</f>
        <v>0</v>
      </c>
      <c r="K18" s="30">
        <f>Tableau2[Septembre]</f>
        <v>0</v>
      </c>
      <c r="L18" s="30">
        <f>Tableau2[Octobre]</f>
        <v>0</v>
      </c>
      <c r="M18" s="30">
        <f>Tableau2[Novembre]</f>
        <v>0</v>
      </c>
      <c r="N18" s="30">
        <f>Tableau2[Décembre]</f>
        <v>0</v>
      </c>
    </row>
  </sheetData>
  <sheetProtection password="C85C" sheet="1" objects="1" scenario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21</vt:i4>
      </vt:variant>
    </vt:vector>
  </HeadingPairs>
  <TitlesOfParts>
    <vt:vector size="32" baseType="lpstr">
      <vt:lpstr>AJOUTER</vt:lpstr>
      <vt:lpstr>TB ANNUEL</vt:lpstr>
      <vt:lpstr>Feuil1</vt:lpstr>
      <vt:lpstr>TB MENSUEL</vt:lpstr>
      <vt:lpstr>TB ANNUEL D</vt:lpstr>
      <vt:lpstr>DETAILS</vt:lpstr>
      <vt:lpstr>OJ</vt:lpstr>
      <vt:lpstr>LAUNCHPAD</vt:lpstr>
      <vt:lpstr>NO TOUCH</vt:lpstr>
      <vt:lpstr>NO TOUCH 2</vt:lpstr>
      <vt:lpstr>REVENU BR</vt:lpstr>
      <vt:lpstr>Animaux</vt:lpstr>
      <vt:lpstr>Assurances</vt:lpstr>
      <vt:lpstr>Autres</vt:lpstr>
      <vt:lpstr>Cadeaux</vt:lpstr>
      <vt:lpstr>Charité</vt:lpstr>
      <vt:lpstr>Crédit</vt:lpstr>
      <vt:lpstr>Education</vt:lpstr>
      <vt:lpstr>Enfants</vt:lpstr>
      <vt:lpstr>Foyer</vt:lpstr>
      <vt:lpstr>Housing</vt:lpstr>
      <vt:lpstr>Impôts</vt:lpstr>
      <vt:lpstr>Loisirs</vt:lpstr>
      <vt:lpstr>Médecins_Médicaments</vt:lpstr>
      <vt:lpstr>Nourritures</vt:lpstr>
      <vt:lpstr>Prêts</vt:lpstr>
      <vt:lpstr>Repas</vt:lpstr>
      <vt:lpstr>Santé</vt:lpstr>
      <vt:lpstr>Self_care</vt:lpstr>
      <vt:lpstr>Sport</vt:lpstr>
      <vt:lpstr>Transport</vt:lpstr>
      <vt:lpstr>Voyage</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MERYEM BEN LAHBIB</dc:creator>
  <cp:lastModifiedBy>BEN LAHBIB</cp:lastModifiedBy>
  <cp:lastPrinted>2021-05-03T11:25:21Z</cp:lastPrinted>
  <dcterms:created xsi:type="dcterms:W3CDTF">2021-04-12T15:15:43Z</dcterms:created>
  <dcterms:modified xsi:type="dcterms:W3CDTF">2022-03-25T23:31:09Z</dcterms:modified>
</cp:coreProperties>
</file>